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9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Instructions" sheetId="8" r:id="rId8"/>
  </sheets>
  <externalReferences>
    <externalReference r:id="rId11"/>
  </externalReferences>
  <definedNames>
    <definedName name="_Order1" hidden="1">255</definedName>
    <definedName name="AdditionalTeacherSalaryIncreaseCover">'Instructions'!#REF!</definedName>
    <definedName name="AdditionalTeacherSalaryIncreaseLine1">'Instructions'!#REF!</definedName>
    <definedName name="AdditionalTeacherSalaryIncreaseLine2">'Instructions'!#REF!</definedName>
    <definedName name="AdditionalTeacherSalaryIncreaseLine3">'Instructions'!#REF!</definedName>
    <definedName name="AdditionalTeacherSalaryIncreaseLine4">'Instructions'!#REF!</definedName>
    <definedName name="AdditionalTeacherSalaryIncreaseLine6">'Instructions'!#REF!</definedName>
    <definedName name="AdditionalTeacherSalaryIncreaseLine7">'Instructions'!#REF!</definedName>
    <definedName name="AdditionalTeacherSalaryIncreaseLine8">'Instructions'!#REF!</definedName>
    <definedName name="AverageSalaryCalculationComment">'Cover'!$L$38</definedName>
    <definedName name="AverageTeacherSalaries">'Instructions'!$C$6</definedName>
    <definedName name="BudgetSummary">'Instructions'!$C$28</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StructuredEnglishImmersionProj">'Instructions'!$C$26</definedName>
    <definedName name="_xlnm.Print_Area" localSheetId="6">'Budget Summary'!$A$1:$M$47</definedName>
    <definedName name="_xlnm.Print_Area" localSheetId="1">'Charter Contact Info'!$A$1:$H$34</definedName>
    <definedName name="_xlnm.Print_Area" localSheetId="0">'Cover'!$A$1:$S$42</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7">'Instructions'!$1:$1</definedName>
    <definedName name="PriorYearSalary">'Cover'!$R$33</definedName>
    <definedName name="ResultsBasedFunding">'Instructions'!$C$16</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workbook>
</file>

<file path=xl/sharedStrings.xml><?xml version="1.0" encoding="utf-8"?>
<sst xmlns="http://schemas.openxmlformats.org/spreadsheetml/2006/main" count="619" uniqueCount="401">
  <si>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</si>
  <si>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</si>
  <si>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</si>
  <si>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</si>
  <si>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</si>
  <si>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</si>
  <si>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</si>
  <si>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</si>
  <si>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</si>
  <si>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</si>
  <si>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</si>
  <si>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</si>
  <si>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</si>
  <si>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</si>
  <si>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</si>
  <si>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</si>
  <si>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</si>
  <si>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</si>
  <si>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</si>
  <si>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</si>
  <si>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</si>
  <si>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</si>
  <si>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</si>
  <si>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</si>
  <si>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</si>
  <si>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</si>
  <si>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</si>
  <si>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</si>
  <si>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</si>
  <si>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</si>
  <si>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</si>
  <si>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</si>
  <si>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</si>
  <si>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</si>
  <si>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</si>
  <si>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</si>
  <si>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</si>
  <si>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</si>
  <si>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</si>
  <si>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</si>
  <si>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</si>
  <si>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</si>
  <si>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</si>
  <si>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</si>
  <si>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</si>
  <si>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</si>
  <si>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</si>
  <si>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</si>
  <si>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</si>
  <si>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</si>
  <si>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</si>
  <si>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</si>
  <si>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</si>
  <si>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</si>
  <si>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</si>
  <si>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</si>
  <si>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</si>
  <si>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</si>
  <si>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</si>
  <si>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</si>
  <si>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</si>
  <si>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</si>
  <si>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</si>
  <si>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</si>
  <si>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</si>
  <si>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</si>
  <si>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</si>
  <si>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</si>
  <si>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</si>
  <si>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</si>
  <si>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</si>
  <si>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</si>
  <si>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</si>
  <si>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</si>
  <si>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</si>
  <si>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</si>
  <si>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</si>
  <si>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</si>
  <si>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</si>
  <si>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</si>
  <si>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</si>
  <si>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</si>
  <si>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</si>
  <si>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</si>
  <si>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</si>
  <si>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</si>
  <si>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</si>
  <si>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</si>
  <si>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</si>
  <si>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</si>
  <si>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</si>
  <si>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</si>
  <si>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</si>
  <si>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</si>
  <si>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</si>
  <si>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</si>
  <si>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</si>
  <si>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</si>
  <si>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</si>
  <si>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</si>
  <si>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</si>
  <si>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</si>
  <si>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</si>
  <si>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</si>
  <si>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</si>
  <si>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</si>
  <si>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</si>
  <si>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</si>
  <si>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</si>
  <si>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</si>
  <si>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</si>
  <si>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</si>
  <si>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</si>
  <si>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</si>
  <si>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</si>
  <si>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</si>
  <si>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</si>
  <si>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</si>
  <si>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</si>
  <si>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</si>
  <si>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</si>
  <si>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</si>
  <si>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</si>
  <si>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</si>
  <si>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</si>
  <si>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</si>
  <si>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</si>
  <si>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</si>
  <si>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</si>
  <si>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</si>
  <si>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</si>
  <si>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</si>
  <si>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</si>
  <si>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</si>
  <si>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</si>
  <si>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</si>
  <si>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</si>
  <si>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</si>
  <si>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</si>
  <si>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</si>
  <si>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</si>
  <si>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</si>
  <si>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</si>
  <si>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</si>
  <si>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</si>
  <si>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</si>
  <si>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</si>
  <si>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</si>
  <si>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</si>
  <si>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</si>
  <si>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</si>
  <si>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</si>
  <si>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</si>
  <si>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</si>
  <si>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</si>
  <si>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</si>
  <si>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</si>
  <si>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</si>
  <si>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</si>
  <si>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</si>
  <si>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</si>
  <si>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</si>
  <si>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</si>
  <si>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</si>
  <si>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</si>
  <si>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</si>
  <si>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</si>
  <si>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</si>
  <si>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</si>
  <si>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</si>
  <si>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</si>
  <si>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</si>
  <si>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</si>
  <si>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</si>
  <si>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</si>
  <si>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</si>
  <si>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</si>
  <si>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</si>
  <si>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</si>
  <si>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</si>
  <si>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</si>
  <si>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</si>
  <si>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</si>
  <si>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</si>
  <si>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</si>
  <si>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</si>
  <si>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</si>
  <si>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</si>
  <si>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</si>
  <si>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</si>
  <si>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</si>
  <si>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</si>
  <si>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</si>
  <si>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</si>
  <si>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</si>
  <si>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</si>
  <si>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</si>
  <si>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</si>
  <si>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</si>
  <si>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</si>
  <si>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</si>
  <si>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</si>
  <si>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</si>
  <si>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</si>
  <si>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</si>
  <si>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</si>
  <si>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</si>
  <si>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</si>
  <si>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</si>
  <si>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</si>
  <si>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</si>
  <si>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</si>
  <si>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</si>
  <si>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</si>
  <si>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</si>
  <si>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</si>
  <si>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</si>
  <si>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</si>
  <si>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</si>
  <si>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</si>
  <si>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</si>
  <si>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</si>
  <si>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</si>
  <si>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</si>
  <si>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</si>
  <si>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</si>
  <si>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</si>
  <si>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</si>
  <si>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</si>
  <si>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</si>
  <si>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</si>
  <si>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</si>
  <si>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</si>
  <si>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</si>
  <si>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</si>
  <si>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</si>
  <si>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</si>
  <si>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</si>
  <si>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</si>
  <si>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</si>
  <si>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</si>
  <si>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</si>
  <si>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</si>
  <si>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</si>
  <si>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</si>
  <si>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</si>
  <si>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</si>
  <si>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</si>
  <si>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</si>
  <si>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</si>
  <si>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</si>
  <si>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</si>
  <si>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</si>
  <si>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</si>
  <si>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</si>
  <si>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</si>
  <si>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</si>
  <si>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</si>
  <si>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</si>
  <si>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</si>
  <si>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</si>
  <si>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</si>
  <si>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</si>
  <si>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</si>
  <si>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</si>
  <si>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</si>
  <si>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</si>
  <si>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</si>
  <si>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</si>
  <si>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</si>
  <si>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</si>
  <si>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</si>
  <si>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</si>
  <si>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</si>
  <si>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</si>
  <si>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</si>
  <si>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</si>
  <si>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</si>
  <si>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</si>
  <si>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</si>
  <si>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</si>
  <si>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</si>
  <si>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</si>
  <si>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</si>
  <si>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</si>
  <si>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</si>
  <si>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</si>
  <si>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</si>
  <si>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</si>
  <si>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Federal and State Projects (from page 2, line 32)</t>
  </si>
  <si>
    <t>FY 2019</t>
  </si>
  <si>
    <t>We hereby certify that the Budget for the School Year 2019 was</t>
  </si>
  <si>
    <t>TOTAL BUDGETED REVENUES FOR FISCAL YEAR 2018</t>
  </si>
  <si>
    <t>ESTIMATED REVENUES BY SOURCE FOR FISCAL YEAR 2019</t>
  </si>
  <si>
    <t>Prior Year 2018</t>
  </si>
  <si>
    <t>Budget Year 2019</t>
  </si>
  <si>
    <t>Program 200 Prior Year 2018</t>
  </si>
  <si>
    <t>Program 200 Budget Year 2019</t>
  </si>
  <si>
    <t>Prior Year  2018</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</si>
  <si>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2018 budget forms. However, the cells have not been protected so users may also enter the information manually. To bring forward amounts automatically, the most recently revised FY 2018 budget must be saved as budget18.xls in the C:\CSFORMS folder. If the file is not named budget18.xls, the formulas will not function properly. Excel will ask the user to update information when the budget19.xls file is opened. Users should review amounts reported in the prior year column to ensure they agree to the school’s most recently revised FY 2018 budget.</t>
  </si>
  <si>
    <t>Estimated revenues by source for FY 2019 should be based on the best information available at the time the budget is prepared. Estimated revenues may be more or less than estimated expenses.</t>
  </si>
  <si>
    <t>Schools that receive monies from the Results-based Funding Project per A.R.S §15-249.08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</si>
  <si>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2019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</si>
  <si>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 xml:space="preserve">Schools receive revenues from the Classroom Site Fund each year. A.R.S. §15-977(G)(1) requires the Joint Legislative Budget Committee to calculate an estimated per pupil amount each year. For FY 2019 the estimated cash payment is $423.00 per “Group A weighted” pupil (Total of Work sheet B, line I.A.4 and Work sheet B.2 lines I.A.3 and III.A.3).
See USFRCS page III-B-1 and USFRCS Memorandum No. 44 for additional guidance on the use of Classroom Site Project monies.
</t>
  </si>
  <si>
    <t>Schools participating in the Arizona State Retirement System should budget in object code 6200 at the rate of 11.64% for retirement contributions and 0.16% for long term disability contributions for covered positions. For positions subject to the Alternate Contribution Rate, schools should budget at the rate of 10.53%.</t>
  </si>
  <si>
    <t>FY 2019 SUMMARY OF CHARTER SCHOOL PROPOSED BUDGET</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</si>
  <si>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</si>
  <si>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</si>
  <si>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</si>
  <si>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</si>
  <si>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</si>
  <si>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</si>
  <si>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</si>
  <si>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</si>
  <si>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</si>
  <si>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</si>
  <si>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</si>
  <si>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</si>
  <si>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</si>
  <si>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</si>
  <si>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</si>
  <si>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</si>
  <si>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</si>
  <si>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</si>
  <si>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</si>
  <si>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</si>
  <si>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</si>
  <si>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</si>
  <si>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</si>
  <si>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</si>
  <si>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</si>
  <si>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</si>
  <si>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</si>
  <si>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</si>
  <si>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</si>
  <si>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</si>
  <si>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</si>
  <si>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</si>
  <si>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</si>
  <si>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</si>
  <si>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</si>
  <si>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Edupoint (Edupoint)</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</si>
  <si>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</si>
  <si>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</si>
  <si>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</si>
  <si>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</si>
  <si>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</si>
  <si>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</si>
  <si>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</si>
  <si>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</si>
  <si>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</si>
  <si>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</si>
  <si>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</si>
  <si>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</si>
  <si>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Comments on Average Salary Calculation (Optional):</t>
  </si>
  <si>
    <t>Type the Date as MM/DD/YYYY</t>
  </si>
  <si>
    <t>Email Address</t>
  </si>
  <si>
    <t>The FY 2019 budget file for the version described at left will be uploaded</t>
  </si>
  <si>
    <t>via the Common Logon on ADE's website by</t>
  </si>
  <si>
    <t>SELECT from Dropdown</t>
  </si>
  <si>
    <t>AVERAGE TEACHER SALARY (A.R.S. §15-189.05), as added by Laws 2018, Ch. 285, §3</t>
  </si>
  <si>
    <t>1. Average salary of all teachers employed in budget year 2019</t>
  </si>
  <si>
    <t>2. Average salary of all teachers employed in prior year 2018</t>
  </si>
  <si>
    <t>3. Increase in average teacher salary from the prior year 2018</t>
  </si>
  <si>
    <t>Average salary of all teachers employed in the budget year 2019</t>
  </si>
  <si>
    <t>Average salary of all teachers employed in the prior year 2018</t>
  </si>
  <si>
    <t>Increase in average teacher salary from the prior year 2018</t>
  </si>
  <si>
    <t>Charter's Website Address</t>
  </si>
  <si>
    <t>In accordance with A.R.S. §15-189.05, as added by Laws 2018, Ch. 285, §3,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Law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</si>
  <si>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North Phoenix Preparatory Academy</t>
  </si>
  <si>
    <t>Maricopa</t>
  </si>
  <si>
    <t>078584000</t>
  </si>
  <si>
    <t>Paul Weinhold, Headmaster</t>
  </si>
  <si>
    <t>Elvia Barbosa, Accountant</t>
  </si>
  <si>
    <t>Elvia Barbosa</t>
  </si>
  <si>
    <t>ebarbosa@greatheartsaz.org</t>
  </si>
  <si>
    <t>Returning teachers received a 9% to 10% salary increase.</t>
  </si>
  <si>
    <t>Erik</t>
  </si>
  <si>
    <t>Twist</t>
  </si>
  <si>
    <t>etwist@greatheartsaz.org</t>
  </si>
  <si>
    <t>Kristi</t>
  </si>
  <si>
    <t>Seltzer</t>
  </si>
  <si>
    <t>kseltzer@greatheartsaz.org</t>
  </si>
  <si>
    <t>Jennifer</t>
  </si>
  <si>
    <t>Bradshaw</t>
  </si>
  <si>
    <t>jbradshaw@greatheartsaz.org</t>
  </si>
  <si>
    <t>Lori</t>
  </si>
  <si>
    <t>Phelps</t>
  </si>
  <si>
    <t>lphelps@greatheartsaz.org</t>
  </si>
  <si>
    <t>Tealai</t>
  </si>
  <si>
    <t>Gonella</t>
  </si>
  <si>
    <t>ess@greatheartsaz.org</t>
  </si>
  <si>
    <t>www.northphoenixprep.org</t>
  </si>
  <si>
    <t>Andrew</t>
  </si>
  <si>
    <t>Ellison</t>
  </si>
  <si>
    <t>Jessica</t>
  </si>
  <si>
    <t>Taylor</t>
  </si>
  <si>
    <t>Joy</t>
  </si>
  <si>
    <t>Hanks</t>
  </si>
  <si>
    <t>Christina</t>
  </si>
  <si>
    <t>Coley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</si>
</sst>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s>
  <fonts count="73">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12"/>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61">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62" fillId="0" borderId="0" xfId="0" applyFont="1" applyFill="1" applyBorder="1" applyAlignment="1">
      <alignment/>
    </xf>
    <xf numFmtId="0" fontId="62" fillId="0" borderId="0" xfId="0" applyFont="1" applyFill="1" applyBorder="1" applyAlignment="1">
      <alignment horizontal="left"/>
    </xf>
    <xf numFmtId="0" fontId="62" fillId="0" borderId="12" xfId="0" applyFont="1" applyFill="1" applyBorder="1" applyAlignment="1">
      <alignment/>
    </xf>
    <xf numFmtId="0" fontId="62" fillId="0" borderId="13" xfId="0" applyFont="1" applyFill="1" applyBorder="1" applyAlignment="1">
      <alignment horizontal="center"/>
    </xf>
    <xf numFmtId="38" fontId="62" fillId="0" borderId="14" xfId="0" applyNumberFormat="1" applyFont="1" applyFill="1" applyBorder="1" applyAlignment="1" applyProtection="1">
      <alignment/>
      <protection/>
    </xf>
    <xf numFmtId="38" fontId="62" fillId="0" borderId="13" xfId="0" applyNumberFormat="1" applyFont="1" applyFill="1" applyBorder="1" applyAlignment="1" applyProtection="1">
      <alignment/>
      <protection/>
    </xf>
    <xf numFmtId="0" fontId="62" fillId="0" borderId="21" xfId="0" applyFont="1" applyFill="1" applyBorder="1" applyAlignment="1" applyProtection="1">
      <alignment/>
      <protection/>
    </xf>
    <xf numFmtId="38" fontId="62" fillId="0" borderId="13" xfId="0" applyNumberFormat="1" applyFont="1" applyFill="1" applyBorder="1" applyAlignment="1" applyProtection="1">
      <alignment/>
      <protection/>
    </xf>
    <xf numFmtId="0" fontId="62" fillId="0" borderId="17" xfId="0" applyFont="1" applyFill="1" applyBorder="1" applyAlignment="1">
      <alignment/>
    </xf>
    <xf numFmtId="38" fontId="62" fillId="0" borderId="23" xfId="0" applyNumberFormat="1" applyFont="1" applyFill="1" applyBorder="1" applyAlignment="1" applyProtection="1">
      <alignment/>
      <protection/>
    </xf>
    <xf numFmtId="0" fontId="62" fillId="0" borderId="21" xfId="0" applyFont="1" applyFill="1" applyBorder="1" applyAlignment="1" applyProtection="1">
      <alignment/>
      <protection/>
    </xf>
    <xf numFmtId="0" fontId="62" fillId="0" borderId="24" xfId="0" applyFont="1" applyFill="1" applyBorder="1" applyAlignment="1">
      <alignment/>
    </xf>
    <xf numFmtId="0" fontId="62" fillId="0" borderId="16" xfId="0" applyFont="1" applyFill="1" applyBorder="1" applyAlignment="1">
      <alignment/>
    </xf>
    <xf numFmtId="0" fontId="62" fillId="0" borderId="0" xfId="0" applyFont="1" applyFill="1" applyBorder="1" applyAlignment="1">
      <alignment horizontal="right"/>
    </xf>
    <xf numFmtId="0" fontId="62" fillId="0" borderId="21" xfId="0" applyFont="1" applyFill="1" applyBorder="1" applyAlignment="1">
      <alignment horizontal="center"/>
    </xf>
    <xf numFmtId="0" fontId="62" fillId="0" borderId="23" xfId="0" applyFont="1" applyFill="1" applyBorder="1" applyAlignment="1">
      <alignment horizontal="center"/>
    </xf>
    <xf numFmtId="0" fontId="62" fillId="0" borderId="0" xfId="0" applyFont="1" applyFill="1" applyBorder="1" applyAlignment="1" applyProtection="1">
      <alignment/>
      <protection/>
    </xf>
    <xf numFmtId="38" fontId="62" fillId="0" borderId="21" xfId="0" applyNumberFormat="1" applyFont="1" applyFill="1" applyBorder="1" applyAlignment="1" applyProtection="1">
      <alignment/>
      <protection/>
    </xf>
    <xf numFmtId="0" fontId="62" fillId="0" borderId="0" xfId="0" applyFont="1" applyFill="1" applyBorder="1" applyAlignment="1" applyProtection="1">
      <alignment vertical="center" wrapText="1"/>
      <protection/>
    </xf>
    <xf numFmtId="0" fontId="63" fillId="0" borderId="10" xfId="0" applyFont="1" applyFill="1" applyBorder="1" applyAlignment="1">
      <alignment/>
    </xf>
    <xf numFmtId="0" fontId="62" fillId="0" borderId="20" xfId="0" applyFont="1" applyFill="1" applyBorder="1" applyAlignment="1">
      <alignment/>
    </xf>
    <xf numFmtId="0" fontId="62" fillId="0" borderId="11" xfId="0" applyFont="1" applyFill="1" applyBorder="1" applyAlignment="1">
      <alignment/>
    </xf>
    <xf numFmtId="0" fontId="62" fillId="0" borderId="15" xfId="0" applyFont="1" applyFill="1" applyBorder="1" applyAlignment="1">
      <alignment horizontal="center"/>
    </xf>
    <xf numFmtId="0" fontId="62"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62"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62" fillId="0" borderId="19" xfId="0" applyFont="1" applyFill="1" applyBorder="1" applyAlignment="1">
      <alignment/>
    </xf>
    <xf numFmtId="0" fontId="62" fillId="0" borderId="10" xfId="0" applyFont="1" applyFill="1" applyBorder="1" applyAlignment="1">
      <alignment/>
    </xf>
    <xf numFmtId="0" fontId="62" fillId="0" borderId="18" xfId="0" applyFont="1" applyFill="1" applyBorder="1" applyAlignment="1">
      <alignment/>
    </xf>
    <xf numFmtId="0" fontId="63" fillId="0" borderId="11" xfId="0" applyFont="1" applyFill="1" applyBorder="1" applyAlignment="1">
      <alignment horizontal="left"/>
    </xf>
    <xf numFmtId="0" fontId="63" fillId="0" borderId="22" xfId="0" applyFont="1" applyFill="1" applyBorder="1" applyAlignment="1">
      <alignment horizontal="left"/>
    </xf>
    <xf numFmtId="0" fontId="62" fillId="0" borderId="11" xfId="0" applyFont="1" applyFill="1" applyBorder="1" applyAlignment="1">
      <alignment horizontal="left"/>
    </xf>
    <xf numFmtId="0" fontId="63" fillId="0" borderId="11" xfId="0" applyFont="1" applyFill="1" applyBorder="1" applyAlignment="1">
      <alignment/>
    </xf>
    <xf numFmtId="0" fontId="63" fillId="0" borderId="0" xfId="0" applyFont="1" applyFill="1" applyBorder="1" applyAlignment="1">
      <alignment horizontal="left"/>
    </xf>
    <xf numFmtId="0" fontId="62" fillId="0" borderId="15" xfId="0" applyFont="1" applyFill="1" applyBorder="1" applyAlignment="1">
      <alignment/>
    </xf>
    <xf numFmtId="0" fontId="63"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62" fillId="0" borderId="22" xfId="0" applyNumberFormat="1" applyFont="1" applyFill="1" applyBorder="1" applyAlignment="1" applyProtection="1">
      <alignment/>
      <protection/>
    </xf>
    <xf numFmtId="0" fontId="62" fillId="0" borderId="10" xfId="0" applyFont="1" applyFill="1" applyBorder="1" applyAlignment="1" applyProtection="1">
      <alignment/>
      <protection/>
    </xf>
    <xf numFmtId="0" fontId="62" fillId="0" borderId="21" xfId="0" applyFont="1" applyFill="1" applyBorder="1" applyAlignment="1">
      <alignment/>
    </xf>
    <xf numFmtId="38" fontId="62"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4" fillId="0" borderId="0" xfId="53" applyFont="1" applyFill="1" applyAlignment="1" applyProtection="1">
      <alignment horizontal="centerContinuous"/>
      <protection/>
    </xf>
    <xf numFmtId="0" fontId="65"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66" fillId="0" borderId="0" xfId="0" applyFont="1" applyFill="1" applyAlignment="1" applyProtection="1">
      <alignment/>
      <protection/>
    </xf>
    <xf numFmtId="0" fontId="66" fillId="0" borderId="0" xfId="0" applyFont="1" applyFill="1" applyBorder="1" applyAlignment="1" applyProtection="1">
      <alignment/>
      <protection/>
    </xf>
    <xf numFmtId="0" fontId="66"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64" fillId="34" borderId="20" xfId="53" applyFont="1" applyFill="1" applyBorder="1" applyAlignment="1" applyProtection="1">
      <alignment/>
      <protection/>
    </xf>
    <xf numFmtId="0" fontId="64" fillId="34" borderId="0" xfId="53" applyFont="1" applyFill="1" applyBorder="1" applyAlignment="1" applyProtection="1">
      <alignment/>
      <protection/>
    </xf>
    <xf numFmtId="0" fontId="65" fillId="34" borderId="0" xfId="53" applyFont="1" applyFill="1" applyAlignment="1" applyProtection="1">
      <alignment/>
      <protection/>
    </xf>
    <xf numFmtId="0" fontId="65" fillId="34" borderId="0" xfId="53" applyFont="1" applyFill="1" applyAlignment="1" applyProtection="1">
      <alignment horizontal="centerContinuous"/>
      <protection/>
    </xf>
    <xf numFmtId="0" fontId="64"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67" fillId="0" borderId="0" xfId="53" applyFont="1" applyFill="1" applyAlignment="1" applyProtection="1">
      <alignment horizontal="center" vertical="top"/>
      <protection/>
    </xf>
    <xf numFmtId="0" fontId="67" fillId="34" borderId="23" xfId="53" applyFont="1" applyFill="1" applyBorder="1" applyAlignment="1" applyProtection="1">
      <alignment horizontal="center"/>
      <protection/>
    </xf>
    <xf numFmtId="0" fontId="67" fillId="34" borderId="12" xfId="53" applyFont="1" applyFill="1" applyBorder="1" applyAlignment="1" applyProtection="1">
      <alignment/>
      <protection/>
    </xf>
    <xf numFmtId="0" fontId="68" fillId="34" borderId="0" xfId="53" applyFont="1" applyFill="1" applyAlignment="1" applyProtection="1">
      <alignment horizontal="centerContinuous"/>
      <protection/>
    </xf>
    <xf numFmtId="0" fontId="68" fillId="34" borderId="0" xfId="53" applyFont="1" applyFill="1" applyAlignment="1" applyProtection="1">
      <alignment horizontal="left" vertical="center"/>
      <protection/>
    </xf>
    <xf numFmtId="0" fontId="67" fillId="34" borderId="11" xfId="53" applyFont="1" applyFill="1" applyBorder="1" applyAlignment="1" applyProtection="1">
      <alignment/>
      <protection/>
    </xf>
    <xf numFmtId="0" fontId="67" fillId="34" borderId="10" xfId="53" applyFont="1" applyFill="1" applyBorder="1" applyAlignment="1" applyProtection="1">
      <alignment/>
      <protection/>
    </xf>
    <xf numFmtId="164" fontId="0" fillId="0" borderId="16" xfId="0" applyNumberFormat="1" applyBorder="1" applyAlignment="1">
      <alignment/>
    </xf>
    <xf numFmtId="0" fontId="67" fillId="34" borderId="0" xfId="53" applyFont="1" applyFill="1" applyAlignment="1" applyProtection="1">
      <alignment vertical="center"/>
      <protection/>
    </xf>
    <xf numFmtId="164" fontId="0" fillId="0" borderId="0" xfId="0" applyNumberFormat="1" applyAlignment="1">
      <alignment/>
    </xf>
    <xf numFmtId="0" fontId="68"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67"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62"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67"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67"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62" fillId="0" borderId="0" xfId="0" applyFont="1" applyFill="1" applyBorder="1" applyAlignment="1">
      <alignment horizontal="center"/>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67" fillId="34" borderId="20" xfId="53" applyFont="1" applyFill="1" applyBorder="1" applyAlignment="1" applyProtection="1">
      <alignment/>
      <protection/>
    </xf>
    <xf numFmtId="0" fontId="0" fillId="0" borderId="14" xfId="0" applyFill="1" applyBorder="1" applyAlignment="1" applyProtection="1">
      <alignment/>
      <protection locked="0"/>
    </xf>
    <xf numFmtId="165" fontId="0" fillId="0" borderId="24" xfId="0" applyNumberFormat="1" applyFill="1" applyBorder="1" applyAlignment="1" applyProtection="1">
      <alignment/>
      <protection locked="0"/>
    </xf>
    <xf numFmtId="38" fontId="0" fillId="0" borderId="0" xfId="0" applyNumberFormat="1" applyFill="1" applyBorder="1" applyAlignment="1" applyProtection="1">
      <alignment/>
      <protection/>
    </xf>
    <xf numFmtId="0" fontId="65" fillId="0" borderId="0" xfId="53" applyFont="1" applyFill="1" applyAlignment="1" applyProtection="1">
      <alignment/>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0" xfId="0" applyFont="1" applyFill="1" applyAlignment="1" applyProtection="1">
      <alignment wrapText="1"/>
      <protection/>
    </xf>
    <xf numFmtId="0" fontId="0" fillId="0" borderId="0" xfId="0"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0" fillId="0" borderId="0" xfId="0" applyFont="1" applyFill="1" applyAlignment="1" applyProtection="1" quotePrefix="1">
      <alignment/>
      <protection/>
    </xf>
    <xf numFmtId="0" fontId="0" fillId="0" borderId="0" xfId="0" applyFont="1" applyFill="1" applyBorder="1" applyAlignment="1" applyProtection="1" quotePrefix="1">
      <alignment/>
      <protection/>
    </xf>
    <xf numFmtId="164" fontId="0" fillId="0" borderId="0" xfId="0" applyNumberFormat="1" applyFill="1" applyBorder="1" applyAlignment="1" applyProtection="1">
      <alignment horizontal="right" vertical="center"/>
      <protection/>
    </xf>
    <xf numFmtId="0" fontId="68" fillId="0" borderId="0" xfId="53" applyFont="1" applyFill="1" applyBorder="1" applyAlignment="1" applyProtection="1">
      <alignment horizontal="centerContinuous" vertical="center"/>
      <protection/>
    </xf>
    <xf numFmtId="0" fontId="68" fillId="0" borderId="0" xfId="53" applyFont="1" applyFill="1" applyBorder="1" applyAlignment="1" applyProtection="1">
      <alignment horizontal="centerContinuous"/>
      <protection/>
    </xf>
    <xf numFmtId="0" fontId="68" fillId="0" borderId="0" xfId="53" applyFont="1" applyFill="1" applyBorder="1" applyAlignment="1" applyProtection="1">
      <alignment horizontal="left" vertical="center"/>
      <protection/>
    </xf>
    <xf numFmtId="0" fontId="0" fillId="0" borderId="0" xfId="0" applyFill="1" applyBorder="1" applyAlignment="1" applyProtection="1">
      <alignment vertical="center"/>
      <protection/>
    </xf>
    <xf numFmtId="38" fontId="0" fillId="0" borderId="14" xfId="0" applyNumberFormat="1" applyFont="1" applyFill="1" applyBorder="1" applyAlignment="1" applyProtection="1">
      <alignment/>
      <protection/>
    </xf>
    <xf numFmtId="3" fontId="0" fillId="0" borderId="12" xfId="0" applyNumberFormat="1" applyFont="1" applyFill="1" applyBorder="1" applyAlignment="1" applyProtection="1" quotePrefix="1">
      <alignment/>
      <protection locked="0"/>
    </xf>
    <xf numFmtId="0" fontId="69" fillId="0" borderId="0" xfId="0" applyFont="1" applyFill="1" applyAlignment="1" applyProtection="1">
      <alignment/>
      <protection/>
    </xf>
    <xf numFmtId="0" fontId="6" fillId="0" borderId="0" xfId="53" applyFill="1" applyAlignment="1" applyProtection="1">
      <alignment horizontal="justify" vertical="top" wrapText="1"/>
      <protection/>
    </xf>
    <xf numFmtId="0" fontId="0" fillId="0" borderId="0" xfId="0" applyFill="1" applyBorder="1" applyAlignment="1" applyProtection="1">
      <alignment vertical="top"/>
      <protection/>
    </xf>
    <xf numFmtId="0" fontId="69" fillId="0" borderId="0" xfId="0" applyFont="1" applyFill="1" applyAlignment="1" applyProtection="1">
      <alignment wrapText="1"/>
      <protection/>
    </xf>
    <xf numFmtId="0" fontId="11" fillId="0" borderId="0" xfId="53" applyFont="1" applyFill="1" applyAlignment="1" applyProtection="1">
      <alignment/>
      <protection/>
    </xf>
    <xf numFmtId="166" fontId="0" fillId="0" borderId="14" xfId="0" applyNumberFormat="1" applyFont="1" applyFill="1" applyBorder="1" applyAlignment="1" applyProtection="1">
      <alignment horizontal="right"/>
      <protection/>
    </xf>
    <xf numFmtId="0" fontId="0" fillId="0" borderId="11" xfId="0" applyFill="1" applyBorder="1" applyAlignment="1" applyProtection="1">
      <alignment/>
      <protection/>
    </xf>
    <xf numFmtId="0" fontId="0" fillId="0" borderId="23" xfId="0" applyFill="1" applyBorder="1" applyAlignment="1" applyProtection="1">
      <alignment/>
      <protection/>
    </xf>
    <xf numFmtId="0" fontId="0" fillId="0" borderId="0" xfId="0" applyFont="1" applyFill="1" applyBorder="1" applyAlignment="1" applyProtection="1" quotePrefix="1">
      <alignment vertical="top"/>
      <protection/>
    </xf>
    <xf numFmtId="3" fontId="0" fillId="0" borderId="0" xfId="0" applyNumberFormat="1" applyFill="1" applyBorder="1" applyAlignment="1" applyProtection="1">
      <alignment/>
      <protection/>
    </xf>
    <xf numFmtId="3" fontId="0" fillId="0" borderId="0" xfId="0" applyNumberFormat="1" applyFont="1" applyFill="1" applyBorder="1" applyAlignment="1" applyProtection="1">
      <alignment/>
      <protection/>
    </xf>
    <xf numFmtId="166" fontId="0" fillId="0" borderId="24" xfId="0" applyNumberFormat="1" applyFill="1" applyBorder="1" applyAlignment="1" applyProtection="1">
      <alignment horizontal="right" vertical="top"/>
      <protection/>
    </xf>
    <xf numFmtId="0" fontId="16" fillId="0" borderId="0" xfId="0" applyFont="1" applyAlignment="1">
      <alignment vertical="center"/>
    </xf>
    <xf numFmtId="0" fontId="0" fillId="0" borderId="0" xfId="0" applyFont="1" applyAlignment="1">
      <alignment/>
    </xf>
    <xf numFmtId="0" fontId="70" fillId="0" borderId="0" xfId="0" applyFont="1" applyAlignment="1">
      <alignment/>
    </xf>
    <xf numFmtId="49" fontId="0" fillId="0" borderId="12" xfId="0" applyNumberFormat="1" applyBorder="1" applyAlignment="1">
      <alignment/>
    </xf>
    <xf numFmtId="0" fontId="0" fillId="0" borderId="0" xfId="0" applyBorder="1" applyAlignment="1">
      <alignment/>
    </xf>
    <xf numFmtId="0" fontId="0" fillId="0" borderId="0" xfId="0" applyFont="1" applyAlignment="1">
      <alignment horizontal="right"/>
    </xf>
    <xf numFmtId="49" fontId="0" fillId="0" borderId="0" xfId="0" applyNumberFormat="1" applyBorder="1" applyAlignment="1">
      <alignment/>
    </xf>
    <xf numFmtId="0" fontId="0" fillId="0" borderId="14" xfId="0" applyFont="1" applyBorder="1" applyAlignment="1" applyProtection="1">
      <alignment/>
      <protection locked="0"/>
    </xf>
    <xf numFmtId="49" fontId="0" fillId="0" borderId="0" xfId="0" applyNumberFormat="1" applyBorder="1" applyAlignment="1">
      <alignment horizontal="left" vertical="top"/>
    </xf>
    <xf numFmtId="0" fontId="0" fillId="0" borderId="0" xfId="0" applyBorder="1" applyAlignment="1">
      <alignment horizontal="left"/>
    </xf>
    <xf numFmtId="0" fontId="11" fillId="0" borderId="0" xfId="53" applyFont="1" applyFill="1" applyAlignment="1" applyProtection="1">
      <alignment horizontal="center" vertical="top" wrapText="1"/>
      <protection/>
    </xf>
    <xf numFmtId="0" fontId="0" fillId="0" borderId="0" xfId="0" applyBorder="1" applyAlignment="1">
      <alignment/>
    </xf>
    <xf numFmtId="0" fontId="70" fillId="0" borderId="0" xfId="0" applyFont="1" applyAlignment="1">
      <alignment vertical="center"/>
    </xf>
    <xf numFmtId="0" fontId="71" fillId="0" borderId="0" xfId="0" applyFont="1" applyFill="1" applyBorder="1" applyAlignment="1" applyProtection="1">
      <alignment/>
      <protection/>
    </xf>
    <xf numFmtId="0" fontId="71" fillId="0" borderId="0" xfId="0" applyFont="1" applyFill="1" applyAlignment="1" applyProtection="1">
      <alignment/>
      <protection/>
    </xf>
    <xf numFmtId="0" fontId="70" fillId="0" borderId="0" xfId="0" applyFont="1" applyFill="1" applyAlignment="1" applyProtection="1">
      <alignment/>
      <protection/>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pplyProtection="1">
      <alignment/>
      <protection locked="0"/>
    </xf>
    <xf numFmtId="49" fontId="0" fillId="0" borderId="12" xfId="0" applyNumberFormat="1" applyBorder="1" applyAlignment="1">
      <alignment horizontal="left"/>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15" fillId="0" borderId="0" xfId="53" applyFont="1" applyFill="1" applyBorder="1" applyAlignment="1" applyProtection="1">
      <alignment horizontal="center"/>
      <protection/>
    </xf>
    <xf numFmtId="0" fontId="15" fillId="0"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20" xfId="0" applyFill="1" applyBorder="1" applyAlignment="1" applyProtection="1">
      <alignment horizontal="center"/>
      <protection/>
    </xf>
    <xf numFmtId="0" fontId="11" fillId="34" borderId="0" xfId="53"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168" fontId="0" fillId="0" borderId="12" xfId="0" applyNumberFormat="1" applyFill="1" applyBorder="1" applyAlignment="1" applyProtection="1">
      <alignment horizontal="left"/>
      <protection locked="0"/>
    </xf>
    <xf numFmtId="197" fontId="0" fillId="0" borderId="12" xfId="0" applyNumberFormat="1" applyFill="1" applyBorder="1" applyAlignment="1" applyProtection="1">
      <alignment horizontal="center"/>
      <protection locked="0"/>
    </xf>
    <xf numFmtId="0" fontId="72" fillId="0" borderId="0" xfId="0" applyFont="1" applyFill="1" applyAlignment="1" applyProtection="1">
      <alignment horizontal="center" vertical="center" wrapText="1"/>
      <protection/>
    </xf>
    <xf numFmtId="0" fontId="17" fillId="0" borderId="20" xfId="0" applyFont="1" applyFill="1" applyBorder="1" applyAlignment="1" applyProtection="1">
      <alignment horizontal="center"/>
      <protection/>
    </xf>
    <xf numFmtId="0" fontId="69" fillId="0" borderId="0" xfId="0" applyFont="1" applyFill="1" applyAlignment="1" applyProtection="1">
      <alignment horizontal="center"/>
      <protection/>
    </xf>
    <xf numFmtId="0" fontId="69" fillId="0" borderId="0" xfId="0" applyFont="1" applyFill="1" applyBorder="1" applyAlignment="1" applyProtection="1">
      <alignment horizontal="center"/>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pplyProtection="1">
      <alignment horizontal="left"/>
      <protection/>
    </xf>
    <xf numFmtId="0" fontId="0" fillId="0" borderId="12"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0" fontId="1" fillId="0" borderId="0" xfId="0" applyFont="1" applyFill="1" applyAlignment="1" applyProtection="1">
      <alignment horizontal="center"/>
      <protection/>
    </xf>
    <xf numFmtId="0" fontId="0" fillId="0" borderId="0" xfId="0" applyFont="1" applyFill="1" applyAlignment="1" applyProtection="1">
      <alignment horizontal="left"/>
      <protection/>
    </xf>
    <xf numFmtId="0" fontId="0" fillId="0" borderId="24" xfId="0"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0" fillId="0" borderId="20" xfId="0" applyFont="1" applyFill="1" applyBorder="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67" fillId="34" borderId="0" xfId="53" applyFont="1" applyFill="1" applyBorder="1" applyAlignment="1" applyProtection="1">
      <alignment horizontal="left"/>
      <protection/>
    </xf>
    <xf numFmtId="0" fontId="7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10" xfId="0" applyFont="1" applyFill="1" applyBorder="1" applyAlignment="1" applyProtection="1" quotePrefix="1">
      <alignment horizontal="left" vertical="top"/>
      <protection locked="0"/>
    </xf>
    <xf numFmtId="0" fontId="0" fillId="0" borderId="20" xfId="0" applyFont="1" applyFill="1" applyBorder="1" applyAlignment="1" applyProtection="1" quotePrefix="1">
      <alignment horizontal="left" vertical="top"/>
      <protection locked="0"/>
    </xf>
    <xf numFmtId="0" fontId="0" fillId="0" borderId="18" xfId="0" applyFont="1" applyFill="1" applyBorder="1" applyAlignment="1" applyProtection="1" quotePrefix="1">
      <alignment horizontal="left" vertical="top"/>
      <protection locked="0"/>
    </xf>
    <xf numFmtId="0" fontId="0" fillId="0" borderId="11" xfId="0" applyFont="1" applyFill="1" applyBorder="1" applyAlignment="1" applyProtection="1" quotePrefix="1">
      <alignment horizontal="left" vertical="top"/>
      <protection locked="0"/>
    </xf>
    <xf numFmtId="0" fontId="0" fillId="0" borderId="0" xfId="0" applyFont="1" applyFill="1" applyBorder="1" applyAlignment="1" applyProtection="1" quotePrefix="1">
      <alignment horizontal="left" vertical="top"/>
      <protection locked="0"/>
    </xf>
    <xf numFmtId="0" fontId="0" fillId="0" borderId="15" xfId="0" applyFont="1" applyFill="1" applyBorder="1" applyAlignment="1" applyProtection="1" quotePrefix="1">
      <alignment horizontal="left" vertical="top"/>
      <protection locked="0"/>
    </xf>
    <xf numFmtId="0" fontId="0" fillId="0" borderId="22" xfId="0" applyFont="1" applyFill="1" applyBorder="1" applyAlignment="1" applyProtection="1" quotePrefix="1">
      <alignment horizontal="left" vertical="top"/>
      <protection locked="0"/>
    </xf>
    <xf numFmtId="0" fontId="0" fillId="0" borderId="12" xfId="0" applyFont="1" applyFill="1" applyBorder="1" applyAlignment="1" applyProtection="1" quotePrefix="1">
      <alignment horizontal="left" vertical="top"/>
      <protection locked="0"/>
    </xf>
    <xf numFmtId="0" fontId="0" fillId="0" borderId="17" xfId="0" applyFont="1" applyFill="1" applyBorder="1" applyAlignment="1" applyProtection="1" quotePrefix="1">
      <alignment horizontal="left" vertical="top"/>
      <protection locked="0"/>
    </xf>
    <xf numFmtId="49" fontId="0" fillId="0" borderId="12" xfId="0" applyNumberFormat="1" applyBorder="1" applyAlignment="1">
      <alignment horizontal="left" vertical="top"/>
    </xf>
    <xf numFmtId="49" fontId="12" fillId="34" borderId="0" xfId="53" applyNumberFormat="1" applyFont="1" applyFill="1" applyBorder="1" applyAlignment="1" applyProtection="1">
      <alignment horizontal="center" vertical="top"/>
      <protection/>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lignment horizontal="left"/>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center"/>
    </xf>
    <xf numFmtId="0" fontId="16" fillId="0" borderId="0" xfId="0" applyFont="1" applyBorder="1" applyAlignment="1">
      <alignment horizontal="left" vertical="center"/>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0" fontId="62" fillId="0" borderId="10" xfId="0" applyFont="1" applyFill="1" applyBorder="1" applyAlignment="1">
      <alignment horizontal="left" vertical="top"/>
    </xf>
    <xf numFmtId="0" fontId="62" fillId="0" borderId="20" xfId="0" applyFont="1" applyFill="1" applyBorder="1" applyAlignment="1">
      <alignment horizontal="left" vertical="top"/>
    </xf>
    <xf numFmtId="0" fontId="62" fillId="0" borderId="18" xfId="0" applyFont="1" applyFill="1" applyBorder="1" applyAlignment="1">
      <alignment horizontal="left" vertical="top"/>
    </xf>
    <xf numFmtId="0" fontId="62" fillId="0" borderId="11" xfId="0" applyFont="1" applyFill="1" applyBorder="1" applyAlignment="1">
      <alignment horizontal="left" vertical="top"/>
    </xf>
    <xf numFmtId="0" fontId="62" fillId="0" borderId="0" xfId="0" applyFont="1" applyFill="1" applyBorder="1" applyAlignment="1">
      <alignment horizontal="left" vertical="top"/>
    </xf>
    <xf numFmtId="0" fontId="62" fillId="0" borderId="15" xfId="0" applyFont="1" applyFill="1" applyBorder="1" applyAlignment="1">
      <alignment horizontal="left" vertical="top"/>
    </xf>
    <xf numFmtId="0" fontId="62" fillId="0" borderId="22" xfId="0" applyFont="1" applyFill="1" applyBorder="1" applyAlignment="1">
      <alignment horizontal="left" vertical="top"/>
    </xf>
    <xf numFmtId="0" fontId="62" fillId="0" borderId="12" xfId="0" applyFont="1" applyFill="1" applyBorder="1" applyAlignment="1">
      <alignment horizontal="left" vertical="top"/>
    </xf>
    <xf numFmtId="0" fontId="62" fillId="0" borderId="17" xfId="0" applyFont="1" applyFill="1" applyBorder="1" applyAlignment="1">
      <alignment horizontal="left" vertical="top"/>
    </xf>
    <xf numFmtId="0" fontId="69" fillId="0" borderId="0" xfId="0" applyFont="1" applyFill="1" applyBorder="1" applyAlignment="1">
      <alignment horizontal="center" vertical="top" wrapText="1"/>
    </xf>
    <xf numFmtId="0" fontId="69" fillId="0" borderId="12" xfId="0" applyFont="1" applyFill="1" applyBorder="1" applyAlignment="1">
      <alignment horizontal="center" vertical="top" wrapText="1"/>
    </xf>
    <xf numFmtId="0" fontId="62" fillId="0" borderId="14" xfId="0" applyFont="1" applyFill="1" applyBorder="1" applyAlignment="1">
      <alignment horizontal="left"/>
    </xf>
    <xf numFmtId="38" fontId="62" fillId="0" borderId="19" xfId="0" applyNumberFormat="1" applyFont="1" applyFill="1" applyBorder="1" applyAlignment="1" applyProtection="1">
      <alignment horizontal="center"/>
      <protection/>
    </xf>
    <xf numFmtId="38" fontId="62" fillId="0" borderId="16" xfId="0" applyNumberFormat="1" applyFont="1" applyFill="1" applyBorder="1" applyAlignment="1" applyProtection="1">
      <alignment horizontal="center"/>
      <protection/>
    </xf>
    <xf numFmtId="0" fontId="63" fillId="0" borderId="19" xfId="0" applyFont="1" applyFill="1" applyBorder="1" applyAlignment="1">
      <alignment horizontal="center"/>
    </xf>
    <xf numFmtId="0" fontId="63" fillId="0" borderId="24" xfId="0" applyFont="1" applyFill="1" applyBorder="1" applyAlignment="1">
      <alignment horizontal="center"/>
    </xf>
    <xf numFmtId="0" fontId="63" fillId="0" borderId="16" xfId="0" applyFont="1" applyFill="1" applyBorder="1" applyAlignment="1">
      <alignment horizontal="center"/>
    </xf>
    <xf numFmtId="0" fontId="63" fillId="0" borderId="14" xfId="0" applyFont="1" applyFill="1" applyBorder="1" applyAlignment="1">
      <alignment horizontal="center"/>
    </xf>
    <xf numFmtId="0" fontId="63" fillId="0" borderId="0" xfId="0" applyFont="1" applyFill="1" applyBorder="1" applyAlignment="1">
      <alignment horizontal="center"/>
    </xf>
    <xf numFmtId="0" fontId="62" fillId="0" borderId="10" xfId="0" applyFont="1" applyFill="1" applyBorder="1" applyAlignment="1" applyProtection="1">
      <alignment horizontal="center" vertical="center" wrapText="1"/>
      <protection/>
    </xf>
    <xf numFmtId="0" fontId="62" fillId="0" borderId="20" xfId="0" applyFont="1" applyFill="1" applyBorder="1" applyAlignment="1" applyProtection="1">
      <alignment horizontal="center" vertical="center" wrapText="1"/>
      <protection/>
    </xf>
    <xf numFmtId="0" fontId="62" fillId="0" borderId="18" xfId="0" applyFont="1" applyFill="1" applyBorder="1" applyAlignment="1" applyProtection="1">
      <alignment horizontal="center" vertical="center" wrapText="1"/>
      <protection/>
    </xf>
    <xf numFmtId="0" fontId="62" fillId="0" borderId="11"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wrapText="1"/>
      <protection/>
    </xf>
    <xf numFmtId="0" fontId="62" fillId="0" borderId="15" xfId="0" applyFont="1" applyFill="1" applyBorder="1" applyAlignment="1" applyProtection="1">
      <alignment horizontal="center" vertical="center" wrapText="1"/>
      <protection/>
    </xf>
    <xf numFmtId="0" fontId="62" fillId="0" borderId="22"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62" fillId="0" borderId="17" xfId="0" applyFont="1" applyFill="1" applyBorder="1" applyAlignment="1" applyProtection="1">
      <alignment horizontal="center" vertical="center" wrapText="1"/>
      <protection/>
    </xf>
    <xf numFmtId="0" fontId="62" fillId="0" borderId="10" xfId="0" applyFont="1" applyFill="1" applyBorder="1" applyAlignment="1">
      <alignment horizontal="center"/>
    </xf>
    <xf numFmtId="0" fontId="62" fillId="0" borderId="18" xfId="0" applyFont="1" applyFill="1" applyBorder="1" applyAlignment="1">
      <alignment horizontal="center"/>
    </xf>
    <xf numFmtId="0" fontId="62" fillId="0" borderId="19" xfId="0" applyFont="1" applyFill="1" applyBorder="1" applyAlignment="1">
      <alignment horizontal="center"/>
    </xf>
    <xf numFmtId="0" fontId="62" fillId="0" borderId="16" xfId="0" applyFont="1" applyFill="1" applyBorder="1" applyAlignment="1">
      <alignment horizontal="center"/>
    </xf>
    <xf numFmtId="0" fontId="62" fillId="0" borderId="22" xfId="0" applyFont="1" applyFill="1" applyBorder="1" applyAlignment="1">
      <alignment horizontal="left"/>
    </xf>
    <xf numFmtId="0" fontId="62" fillId="0" borderId="12"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 Id="rId2" Type="http://schemas.openxmlformats.org/officeDocument/2006/relationships/image" Target="../media/image1.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hyperlink" Target="http://www.azed.gov/mowr/" TargetMode="External" /><Relationship Id="rId6" Type="http://schemas.openxmlformats.org/officeDocument/2006/relationships/hyperlink" Target="http://www.azed.gov/mowr/" TargetMode="External" /><Relationship Id="rId7"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 Id="rId2" Type="http://schemas.openxmlformats.org/officeDocument/2006/relationships/image" Target="../media/image1.png" /><Relationship Id="rId3" Type="http://schemas.openxmlformats.org/officeDocument/2006/relationships/image" Target="../media/image7.png" /><Relationship Id="rId4"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 Id="rId2" Type="http://schemas.openxmlformats.org/officeDocument/2006/relationships/image" Target="../media/image1.png" /><Relationship Id="rId3"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Pg4StructuredEnglishImmersionProj" /><Relationship Id="rId2" Type="http://schemas.openxmlformats.org/officeDocument/2006/relationships/image" Target="../media/image1.png" /><Relationship Id="rId3"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 Id="rId2" Type="http://schemas.openxmlformats.org/officeDocument/2006/relationships/image" Target="../media/image1.png" /><Relationship Id="rId3"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838200</xdr:colOff>
      <xdr:row>8</xdr:row>
      <xdr:rowOff>133350</xdr:rowOff>
    </xdr:to>
    <xdr:sp>
      <xdr:nvSpPr>
        <xdr:cNvPr id="1" name="Rectangle 1">
          <a:hlinkClick r:id="rId1"/>
        </xdr:cNvPr>
        <xdr:cNvSpPr>
          <a:spLocks/>
        </xdr:cNvSpPr>
      </xdr:nvSpPr>
      <xdr:spPr>
        <a:xfrm>
          <a:off x="4133850" y="1247775"/>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47</xdr:row>
      <xdr:rowOff>0</xdr:rowOff>
    </xdr:from>
    <xdr:to>
      <xdr:col>14</xdr:col>
      <xdr:colOff>285750</xdr:colOff>
      <xdr:row>48</xdr:row>
      <xdr:rowOff>85725</xdr:rowOff>
    </xdr:to>
    <xdr:pic>
      <xdr:nvPicPr>
        <xdr:cNvPr id="2" name="Picture 5"/>
        <xdr:cNvPicPr preferRelativeResize="1">
          <a:picLocks noChangeAspect="1"/>
        </xdr:cNvPicPr>
      </xdr:nvPicPr>
      <xdr:blipFill>
        <a:blip r:embed="rId2"/>
        <a:stretch>
          <a:fillRect/>
        </a:stretch>
      </xdr:blipFill>
      <xdr:spPr>
        <a:xfrm>
          <a:off x="0" y="7743825"/>
          <a:ext cx="8201025" cy="247650"/>
        </a:xfrm>
        <a:prstGeom prst="rect">
          <a:avLst/>
        </a:prstGeom>
        <a:noFill/>
        <a:ln w="9525" cmpd="sng">
          <a:noFill/>
        </a:ln>
      </xdr:spPr>
    </xdr:pic>
    <xdr:clientData/>
  </xdr:twoCellAnchor>
  <xdr:twoCellAnchor editAs="oneCell">
    <xdr:from>
      <xdr:col>0</xdr:col>
      <xdr:colOff>0</xdr:colOff>
      <xdr:row>48</xdr:row>
      <xdr:rowOff>123825</xdr:rowOff>
    </xdr:from>
    <xdr:to>
      <xdr:col>14</xdr:col>
      <xdr:colOff>381000</xdr:colOff>
      <xdr:row>84</xdr:row>
      <xdr:rowOff>66675</xdr:rowOff>
    </xdr:to>
    <xdr:pic>
      <xdr:nvPicPr>
        <xdr:cNvPr id="3" name="Picture 7"/>
        <xdr:cNvPicPr preferRelativeResize="1">
          <a:picLocks noChangeAspect="1"/>
        </xdr:cNvPicPr>
      </xdr:nvPicPr>
      <xdr:blipFill>
        <a:blip r:embed="rId3"/>
        <a:stretch>
          <a:fillRect/>
        </a:stretch>
      </xdr:blipFill>
      <xdr:spPr>
        <a:xfrm>
          <a:off x="0" y="8029575"/>
          <a:ext cx="8296275" cy="5772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990600</xdr:colOff>
      <xdr:row>4</xdr:row>
      <xdr:rowOff>133350</xdr:rowOff>
    </xdr:to>
    <xdr:sp>
      <xdr:nvSpPr>
        <xdr:cNvPr id="1" name="Rectangle 1">
          <a:hlinkClick r:id="rId1"/>
        </xdr:cNvPr>
        <xdr:cNvSpPr>
          <a:spLocks/>
        </xdr:cNvSpPr>
      </xdr:nvSpPr>
      <xdr:spPr>
        <a:xfrm>
          <a:off x="0" y="485775"/>
          <a:ext cx="99060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32</xdr:row>
      <xdr:rowOff>123825</xdr:rowOff>
    </xdr:from>
    <xdr:to>
      <xdr:col>6</xdr:col>
      <xdr:colOff>876300</xdr:colOff>
      <xdr:row>34</xdr:row>
      <xdr:rowOff>19050</xdr:rowOff>
    </xdr:to>
    <xdr:pic>
      <xdr:nvPicPr>
        <xdr:cNvPr id="2" name="Picture 2"/>
        <xdr:cNvPicPr preferRelativeResize="1">
          <a:picLocks noChangeAspect="1"/>
        </xdr:cNvPicPr>
      </xdr:nvPicPr>
      <xdr:blipFill>
        <a:blip r:embed="rId2"/>
        <a:stretch>
          <a:fillRect/>
        </a:stretch>
      </xdr:blipFill>
      <xdr:spPr>
        <a:xfrm>
          <a:off x="0" y="5334000"/>
          <a:ext cx="8201025" cy="247650"/>
        </a:xfrm>
        <a:prstGeom prst="rect">
          <a:avLst/>
        </a:prstGeom>
        <a:noFill/>
        <a:ln w="9525" cmpd="sng">
          <a:noFill/>
        </a:ln>
      </xdr:spPr>
    </xdr:pic>
    <xdr:clientData/>
  </xdr:twoCellAnchor>
  <xdr:twoCellAnchor editAs="oneCell">
    <xdr:from>
      <xdr:col>0</xdr:col>
      <xdr:colOff>0</xdr:colOff>
      <xdr:row>34</xdr:row>
      <xdr:rowOff>57150</xdr:rowOff>
    </xdr:from>
    <xdr:to>
      <xdr:col>6</xdr:col>
      <xdr:colOff>857250</xdr:colOff>
      <xdr:row>37</xdr:row>
      <xdr:rowOff>19050</xdr:rowOff>
    </xdr:to>
    <xdr:pic>
      <xdr:nvPicPr>
        <xdr:cNvPr id="3" name="Picture 5"/>
        <xdr:cNvPicPr preferRelativeResize="1">
          <a:picLocks noChangeAspect="1"/>
        </xdr:cNvPicPr>
      </xdr:nvPicPr>
      <xdr:blipFill>
        <a:blip r:embed="rId3"/>
        <a:stretch>
          <a:fillRect/>
        </a:stretch>
      </xdr:blipFill>
      <xdr:spPr>
        <a:xfrm>
          <a:off x="0" y="5619750"/>
          <a:ext cx="8181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16</xdr:col>
      <xdr:colOff>0</xdr:colOff>
      <xdr:row>0</xdr:row>
      <xdr:rowOff>0</xdr:rowOff>
    </xdr:from>
    <xdr:to>
      <xdr:col>29</xdr:col>
      <xdr:colOff>276225</xdr:colOff>
      <xdr:row>2</xdr:row>
      <xdr:rowOff>47625</xdr:rowOff>
    </xdr:to>
    <xdr:pic>
      <xdr:nvPicPr>
        <xdr:cNvPr id="2" name="Picture 3"/>
        <xdr:cNvPicPr preferRelativeResize="1">
          <a:picLocks noChangeAspect="1"/>
        </xdr:cNvPicPr>
      </xdr:nvPicPr>
      <xdr:blipFill>
        <a:blip r:embed="rId2"/>
        <a:stretch>
          <a:fillRect/>
        </a:stretch>
      </xdr:blipFill>
      <xdr:spPr>
        <a:xfrm>
          <a:off x="11906250" y="0"/>
          <a:ext cx="8201025" cy="247650"/>
        </a:xfrm>
        <a:prstGeom prst="rect">
          <a:avLst/>
        </a:prstGeom>
        <a:noFill/>
        <a:ln w="9525" cmpd="sng">
          <a:noFill/>
        </a:ln>
      </xdr:spPr>
    </xdr:pic>
    <xdr:clientData/>
  </xdr:twoCellAnchor>
  <xdr:twoCellAnchor editAs="oneCell">
    <xdr:from>
      <xdr:col>16</xdr:col>
      <xdr:colOff>0</xdr:colOff>
      <xdr:row>2</xdr:row>
      <xdr:rowOff>47625</xdr:rowOff>
    </xdr:from>
    <xdr:to>
      <xdr:col>29</xdr:col>
      <xdr:colOff>257175</xdr:colOff>
      <xdr:row>18</xdr:row>
      <xdr:rowOff>9525</xdr:rowOff>
    </xdr:to>
    <xdr:pic>
      <xdr:nvPicPr>
        <xdr:cNvPr id="3" name="Picture 5"/>
        <xdr:cNvPicPr preferRelativeResize="1">
          <a:picLocks noChangeAspect="1"/>
        </xdr:cNvPicPr>
      </xdr:nvPicPr>
      <xdr:blipFill>
        <a:blip r:embed="rId3"/>
        <a:stretch>
          <a:fillRect/>
        </a:stretch>
      </xdr:blipFill>
      <xdr:spPr>
        <a:xfrm>
          <a:off x="11906250" y="247650"/>
          <a:ext cx="8181975" cy="2400300"/>
        </a:xfrm>
        <a:prstGeom prst="rect">
          <a:avLst/>
        </a:prstGeom>
        <a:noFill/>
        <a:ln w="9525" cmpd="sng">
          <a:noFill/>
        </a:ln>
      </xdr:spPr>
    </xdr:pic>
    <xdr:clientData/>
  </xdr:twoCellAnchor>
  <xdr:twoCellAnchor editAs="oneCell">
    <xdr:from>
      <xdr:col>15</xdr:col>
      <xdr:colOff>571500</xdr:colOff>
      <xdr:row>17</xdr:row>
      <xdr:rowOff>123825</xdr:rowOff>
    </xdr:from>
    <xdr:to>
      <xdr:col>29</xdr:col>
      <xdr:colOff>123825</xdr:colOff>
      <xdr:row>19</xdr:row>
      <xdr:rowOff>114300</xdr:rowOff>
    </xdr:to>
    <xdr:pic>
      <xdr:nvPicPr>
        <xdr:cNvPr id="4" name="Picture 7">
          <a:hlinkClick r:id="rId6"/>
        </xdr:cNvPr>
        <xdr:cNvPicPr preferRelativeResize="1">
          <a:picLocks noChangeAspect="1"/>
        </xdr:cNvPicPr>
      </xdr:nvPicPr>
      <xdr:blipFill>
        <a:blip r:embed="rId4"/>
        <a:stretch>
          <a:fillRect/>
        </a:stretch>
      </xdr:blipFill>
      <xdr:spPr>
        <a:xfrm>
          <a:off x="11868150" y="2609850"/>
          <a:ext cx="8086725" cy="295275"/>
        </a:xfrm>
        <a:prstGeom prst="rect">
          <a:avLst/>
        </a:prstGeom>
        <a:noFill/>
        <a:ln w="9525" cmpd="sng">
          <a:noFill/>
        </a:ln>
      </xdr:spPr>
    </xdr:pic>
    <xdr:clientData/>
  </xdr:twoCellAnchor>
  <xdr:twoCellAnchor editAs="oneCell">
    <xdr:from>
      <xdr:col>15</xdr:col>
      <xdr:colOff>523875</xdr:colOff>
      <xdr:row>20</xdr:row>
      <xdr:rowOff>19050</xdr:rowOff>
    </xdr:from>
    <xdr:to>
      <xdr:col>29</xdr:col>
      <xdr:colOff>200025</xdr:colOff>
      <xdr:row>29</xdr:row>
      <xdr:rowOff>38100</xdr:rowOff>
    </xdr:to>
    <xdr:pic>
      <xdr:nvPicPr>
        <xdr:cNvPr id="5" name="Picture 9"/>
        <xdr:cNvPicPr preferRelativeResize="1">
          <a:picLocks noChangeAspect="1"/>
        </xdr:cNvPicPr>
      </xdr:nvPicPr>
      <xdr:blipFill>
        <a:blip r:embed="rId7"/>
        <a:stretch>
          <a:fillRect/>
        </a:stretch>
      </xdr:blipFill>
      <xdr:spPr>
        <a:xfrm>
          <a:off x="11820525" y="2962275"/>
          <a:ext cx="821055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190500</xdr:rowOff>
    </xdr:to>
    <xdr:sp>
      <xdr:nvSpPr>
        <xdr:cNvPr id="1" name="Rectangle 7">
          <a:hlinkClick r:id="rId1"/>
        </xdr:cNvPr>
        <xdr:cNvSpPr>
          <a:spLocks/>
        </xdr:cNvSpPr>
      </xdr:nvSpPr>
      <xdr:spPr>
        <a:xfrm>
          <a:off x="257175" y="419100"/>
          <a:ext cx="98107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17</xdr:col>
      <xdr:colOff>0</xdr:colOff>
      <xdr:row>0</xdr:row>
      <xdr:rowOff>0</xdr:rowOff>
    </xdr:from>
    <xdr:to>
      <xdr:col>30</xdr:col>
      <xdr:colOff>304800</xdr:colOff>
      <xdr:row>1</xdr:row>
      <xdr:rowOff>85725</xdr:rowOff>
    </xdr:to>
    <xdr:pic>
      <xdr:nvPicPr>
        <xdr:cNvPr id="2" name="Picture 3"/>
        <xdr:cNvPicPr preferRelativeResize="1">
          <a:picLocks noChangeAspect="1"/>
        </xdr:cNvPicPr>
      </xdr:nvPicPr>
      <xdr:blipFill>
        <a:blip r:embed="rId2"/>
        <a:stretch>
          <a:fillRect/>
        </a:stretch>
      </xdr:blipFill>
      <xdr:spPr>
        <a:xfrm>
          <a:off x="12353925" y="0"/>
          <a:ext cx="8229600" cy="257175"/>
        </a:xfrm>
        <a:prstGeom prst="rect">
          <a:avLst/>
        </a:prstGeom>
        <a:noFill/>
        <a:ln w="9525" cmpd="sng">
          <a:noFill/>
        </a:ln>
      </xdr:spPr>
    </xdr:pic>
    <xdr:clientData/>
  </xdr:twoCellAnchor>
  <xdr:twoCellAnchor editAs="oneCell">
    <xdr:from>
      <xdr:col>17</xdr:col>
      <xdr:colOff>57150</xdr:colOff>
      <xdr:row>2</xdr:row>
      <xdr:rowOff>9525</xdr:rowOff>
    </xdr:from>
    <xdr:to>
      <xdr:col>30</xdr:col>
      <xdr:colOff>428625</xdr:colOff>
      <xdr:row>38</xdr:row>
      <xdr:rowOff>19050</xdr:rowOff>
    </xdr:to>
    <xdr:pic>
      <xdr:nvPicPr>
        <xdr:cNvPr id="3" name="Picture 4"/>
        <xdr:cNvPicPr preferRelativeResize="1">
          <a:picLocks noChangeAspect="1"/>
        </xdr:cNvPicPr>
      </xdr:nvPicPr>
      <xdr:blipFill>
        <a:blip r:embed="rId3"/>
        <a:stretch>
          <a:fillRect/>
        </a:stretch>
      </xdr:blipFill>
      <xdr:spPr>
        <a:xfrm>
          <a:off x="12411075" y="276225"/>
          <a:ext cx="8296275" cy="5857875"/>
        </a:xfrm>
        <a:prstGeom prst="rect">
          <a:avLst/>
        </a:prstGeom>
        <a:noFill/>
        <a:ln w="9525" cmpd="sng">
          <a:noFill/>
        </a:ln>
      </xdr:spPr>
    </xdr:pic>
    <xdr:clientData/>
  </xdr:twoCellAnchor>
  <xdr:twoCellAnchor editAs="oneCell">
    <xdr:from>
      <xdr:col>17</xdr:col>
      <xdr:colOff>95250</xdr:colOff>
      <xdr:row>37</xdr:row>
      <xdr:rowOff>28575</xdr:rowOff>
    </xdr:from>
    <xdr:to>
      <xdr:col>30</xdr:col>
      <xdr:colOff>409575</xdr:colOff>
      <xdr:row>68</xdr:row>
      <xdr:rowOff>19050</xdr:rowOff>
    </xdr:to>
    <xdr:pic>
      <xdr:nvPicPr>
        <xdr:cNvPr id="4" name="Picture 6"/>
        <xdr:cNvPicPr preferRelativeResize="1">
          <a:picLocks noChangeAspect="1"/>
        </xdr:cNvPicPr>
      </xdr:nvPicPr>
      <xdr:blipFill>
        <a:blip r:embed="rId4"/>
        <a:stretch>
          <a:fillRect/>
        </a:stretch>
      </xdr:blipFill>
      <xdr:spPr>
        <a:xfrm>
          <a:off x="12449175" y="5991225"/>
          <a:ext cx="8239125"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219075</xdr:colOff>
      <xdr:row>5</xdr:row>
      <xdr:rowOff>47625</xdr:rowOff>
    </xdr:to>
    <xdr:sp>
      <xdr:nvSpPr>
        <xdr:cNvPr id="1" name="Rectangle 5">
          <a:hlinkClick r:id="rId1"/>
        </xdr:cNvPr>
        <xdr:cNvSpPr>
          <a:spLocks/>
        </xdr:cNvSpPr>
      </xdr:nvSpPr>
      <xdr:spPr>
        <a:xfrm>
          <a:off x="2305050" y="390525"/>
          <a:ext cx="260985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342900</xdr:colOff>
      <xdr:row>2</xdr:row>
      <xdr:rowOff>47625</xdr:rowOff>
    </xdr:to>
    <xdr:pic>
      <xdr:nvPicPr>
        <xdr:cNvPr id="2" name="Picture 2"/>
        <xdr:cNvPicPr preferRelativeResize="1">
          <a:picLocks noChangeAspect="1"/>
        </xdr:cNvPicPr>
      </xdr:nvPicPr>
      <xdr:blipFill>
        <a:blip r:embed="rId2"/>
        <a:stretch>
          <a:fillRect/>
        </a:stretch>
      </xdr:blipFill>
      <xdr:spPr>
        <a:xfrm>
          <a:off x="13306425" y="0"/>
          <a:ext cx="8220075" cy="247650"/>
        </a:xfrm>
        <a:prstGeom prst="rect">
          <a:avLst/>
        </a:prstGeom>
        <a:noFill/>
        <a:ln w="9525" cmpd="sng">
          <a:noFill/>
        </a:ln>
      </xdr:spPr>
    </xdr:pic>
    <xdr:clientData/>
  </xdr:twoCellAnchor>
  <xdr:twoCellAnchor editAs="oneCell">
    <xdr:from>
      <xdr:col>14</xdr:col>
      <xdr:colOff>0</xdr:colOff>
      <xdr:row>3</xdr:row>
      <xdr:rowOff>0</xdr:rowOff>
    </xdr:from>
    <xdr:to>
      <xdr:col>27</xdr:col>
      <xdr:colOff>371475</xdr:colOff>
      <xdr:row>12</xdr:row>
      <xdr:rowOff>76200</xdr:rowOff>
    </xdr:to>
    <xdr:pic>
      <xdr:nvPicPr>
        <xdr:cNvPr id="3" name="Picture 3"/>
        <xdr:cNvPicPr preferRelativeResize="1">
          <a:picLocks noChangeAspect="1"/>
        </xdr:cNvPicPr>
      </xdr:nvPicPr>
      <xdr:blipFill>
        <a:blip r:embed="rId3"/>
        <a:stretch>
          <a:fillRect/>
        </a:stretch>
      </xdr:blipFill>
      <xdr:spPr>
        <a:xfrm>
          <a:off x="13306425" y="333375"/>
          <a:ext cx="8248650" cy="127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47625</xdr:rowOff>
    </xdr:from>
    <xdr:to>
      <xdr:col>4</xdr:col>
      <xdr:colOff>200025</xdr:colOff>
      <xdr:row>4</xdr:row>
      <xdr:rowOff>28575</xdr:rowOff>
    </xdr:to>
    <xdr:sp>
      <xdr:nvSpPr>
        <xdr:cNvPr id="1" name="Rectangle 5">
          <a:hlinkClick r:id="rId1"/>
        </xdr:cNvPr>
        <xdr:cNvSpPr>
          <a:spLocks/>
        </xdr:cNvSpPr>
      </xdr:nvSpPr>
      <xdr:spPr>
        <a:xfrm>
          <a:off x="2152650" y="371475"/>
          <a:ext cx="10382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18</xdr:col>
      <xdr:colOff>0</xdr:colOff>
      <xdr:row>0</xdr:row>
      <xdr:rowOff>0</xdr:rowOff>
    </xdr:from>
    <xdr:to>
      <xdr:col>31</xdr:col>
      <xdr:colOff>304800</xdr:colOff>
      <xdr:row>1</xdr:row>
      <xdr:rowOff>85725</xdr:rowOff>
    </xdr:to>
    <xdr:pic>
      <xdr:nvPicPr>
        <xdr:cNvPr id="2" name="Picture 2"/>
        <xdr:cNvPicPr preferRelativeResize="1">
          <a:picLocks noChangeAspect="1"/>
        </xdr:cNvPicPr>
      </xdr:nvPicPr>
      <xdr:blipFill>
        <a:blip r:embed="rId2"/>
        <a:stretch>
          <a:fillRect/>
        </a:stretch>
      </xdr:blipFill>
      <xdr:spPr>
        <a:xfrm>
          <a:off x="12153900" y="0"/>
          <a:ext cx="8229600" cy="247650"/>
        </a:xfrm>
        <a:prstGeom prst="rect">
          <a:avLst/>
        </a:prstGeom>
        <a:noFill/>
        <a:ln w="9525" cmpd="sng">
          <a:noFill/>
        </a:ln>
      </xdr:spPr>
    </xdr:pic>
    <xdr:clientData/>
  </xdr:twoCellAnchor>
  <xdr:twoCellAnchor editAs="oneCell">
    <xdr:from>
      <xdr:col>18</xdr:col>
      <xdr:colOff>57150</xdr:colOff>
      <xdr:row>1</xdr:row>
      <xdr:rowOff>104775</xdr:rowOff>
    </xdr:from>
    <xdr:to>
      <xdr:col>31</xdr:col>
      <xdr:colOff>400050</xdr:colOff>
      <xdr:row>11</xdr:row>
      <xdr:rowOff>104775</xdr:rowOff>
    </xdr:to>
    <xdr:pic>
      <xdr:nvPicPr>
        <xdr:cNvPr id="3" name="Picture 3"/>
        <xdr:cNvPicPr preferRelativeResize="1">
          <a:picLocks noChangeAspect="1"/>
        </xdr:cNvPicPr>
      </xdr:nvPicPr>
      <xdr:blipFill>
        <a:blip r:embed="rId3"/>
        <a:stretch>
          <a:fillRect/>
        </a:stretch>
      </xdr:blipFill>
      <xdr:spPr>
        <a:xfrm>
          <a:off x="12211050" y="266700"/>
          <a:ext cx="8267700" cy="1619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276225</xdr:colOff>
      <xdr:row>0</xdr:row>
      <xdr:rowOff>247650</xdr:rowOff>
    </xdr:to>
    <xdr:pic>
      <xdr:nvPicPr>
        <xdr:cNvPr id="2" name="Picture 4"/>
        <xdr:cNvPicPr preferRelativeResize="1">
          <a:picLocks noChangeAspect="1"/>
        </xdr:cNvPicPr>
      </xdr:nvPicPr>
      <xdr:blipFill>
        <a:blip r:embed="rId2"/>
        <a:stretch>
          <a:fillRect/>
        </a:stretch>
      </xdr:blipFill>
      <xdr:spPr>
        <a:xfrm>
          <a:off x="11649075" y="0"/>
          <a:ext cx="8201025" cy="247650"/>
        </a:xfrm>
        <a:prstGeom prst="rect">
          <a:avLst/>
        </a:prstGeom>
        <a:noFill/>
        <a:ln w="9525" cmpd="sng">
          <a:noFill/>
        </a:ln>
      </xdr:spPr>
    </xdr:pic>
    <xdr:clientData/>
  </xdr:twoCellAnchor>
  <xdr:twoCellAnchor editAs="oneCell">
    <xdr:from>
      <xdr:col>14</xdr:col>
      <xdr:colOff>0</xdr:colOff>
      <xdr:row>0</xdr:row>
      <xdr:rowOff>238125</xdr:rowOff>
    </xdr:from>
    <xdr:to>
      <xdr:col>27</xdr:col>
      <xdr:colOff>333375</xdr:colOff>
      <xdr:row>5</xdr:row>
      <xdr:rowOff>66675</xdr:rowOff>
    </xdr:to>
    <xdr:pic>
      <xdr:nvPicPr>
        <xdr:cNvPr id="3" name="Picture 5"/>
        <xdr:cNvPicPr preferRelativeResize="1">
          <a:picLocks noChangeAspect="1"/>
        </xdr:cNvPicPr>
      </xdr:nvPicPr>
      <xdr:blipFill>
        <a:blip r:embed="rId3"/>
        <a:stretch>
          <a:fillRect/>
        </a:stretch>
      </xdr:blipFill>
      <xdr:spPr>
        <a:xfrm>
          <a:off x="11649075" y="238125"/>
          <a:ext cx="825817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9">
          <cell r="R19">
            <v>3289717</v>
          </cell>
        </row>
      </sheetData>
      <sheetData sheetId="1">
        <row r="8">
          <cell r="L8">
            <v>1249612</v>
          </cell>
        </row>
        <row r="10">
          <cell r="L10">
            <v>0</v>
          </cell>
        </row>
        <row r="11">
          <cell r="L11">
            <v>0</v>
          </cell>
        </row>
        <row r="12">
          <cell r="L12">
            <v>0</v>
          </cell>
        </row>
        <row r="13">
          <cell r="L13">
            <v>464320</v>
          </cell>
        </row>
        <row r="14">
          <cell r="L14">
            <v>266521</v>
          </cell>
        </row>
        <row r="15">
          <cell r="L15">
            <v>553331</v>
          </cell>
        </row>
        <row r="16">
          <cell r="L16">
            <v>124029</v>
          </cell>
        </row>
        <row r="17">
          <cell r="L17">
            <v>0</v>
          </cell>
        </row>
        <row r="18">
          <cell r="L18">
            <v>0</v>
          </cell>
        </row>
        <row r="19">
          <cell r="L19">
            <v>0</v>
          </cell>
        </row>
        <row r="20">
          <cell r="L20">
            <v>15918</v>
          </cell>
        </row>
        <row r="21">
          <cell r="L21">
            <v>168509</v>
          </cell>
        </row>
        <row r="22">
          <cell r="L22">
            <v>0</v>
          </cell>
        </row>
        <row r="25">
          <cell r="L25">
            <v>89317</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173880</v>
          </cell>
        </row>
        <row r="45">
          <cell r="L45">
            <v>16368</v>
          </cell>
        </row>
        <row r="46">
          <cell r="L46">
            <v>0</v>
          </cell>
        </row>
        <row r="47">
          <cell r="L47">
            <v>0</v>
          </cell>
        </row>
        <row r="48">
          <cell r="L48">
            <v>123815</v>
          </cell>
        </row>
      </sheetData>
      <sheetData sheetId="2">
        <row r="5">
          <cell r="N5">
            <v>89317</v>
          </cell>
        </row>
        <row r="12">
          <cell r="E12">
            <v>40115</v>
          </cell>
        </row>
        <row r="19">
          <cell r="N19">
            <v>8184</v>
          </cell>
        </row>
        <row r="21">
          <cell r="N21">
            <v>8184</v>
          </cell>
        </row>
        <row r="32">
          <cell r="E32">
            <v>83700</v>
          </cell>
        </row>
        <row r="43">
          <cell r="E43">
            <v>85400</v>
          </cell>
        </row>
      </sheetData>
      <sheetData sheetId="3">
        <row r="9">
          <cell r="K9">
            <v>34776</v>
          </cell>
        </row>
        <row r="10">
          <cell r="K10">
            <v>0</v>
          </cell>
        </row>
        <row r="11">
          <cell r="K11">
            <v>0</v>
          </cell>
        </row>
        <row r="14">
          <cell r="K14">
            <v>0</v>
          </cell>
        </row>
        <row r="15">
          <cell r="K15">
            <v>0</v>
          </cell>
        </row>
        <row r="16">
          <cell r="K16">
            <v>0</v>
          </cell>
        </row>
        <row r="19">
          <cell r="K19">
            <v>0</v>
          </cell>
        </row>
        <row r="20">
          <cell r="K20">
            <v>0</v>
          </cell>
        </row>
        <row r="21">
          <cell r="K21">
            <v>0</v>
          </cell>
        </row>
        <row r="26">
          <cell r="K26">
            <v>69552</v>
          </cell>
        </row>
        <row r="27">
          <cell r="K27">
            <v>0</v>
          </cell>
        </row>
        <row r="28">
          <cell r="K28">
            <v>0</v>
          </cell>
        </row>
        <row r="31">
          <cell r="K31">
            <v>0</v>
          </cell>
        </row>
        <row r="32">
          <cell r="K32">
            <v>0</v>
          </cell>
        </row>
        <row r="33">
          <cell r="K33">
            <v>0</v>
          </cell>
        </row>
        <row r="36">
          <cell r="K36">
            <v>0</v>
          </cell>
        </row>
        <row r="37">
          <cell r="K37">
            <v>0</v>
          </cell>
        </row>
        <row r="38">
          <cell r="K38">
            <v>0</v>
          </cell>
        </row>
        <row r="43">
          <cell r="K43">
            <v>69552</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V44"/>
  <sheetViews>
    <sheetView showGridLines="0" tabSelected="1" workbookViewId="0" topLeftCell="A1">
      <selection activeCell="D3" sqref="D3:I3"/>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9" width="3.57421875" style="44" customWidth="1"/>
    <col min="20" max="16384" width="9.140625" style="44" customWidth="1"/>
  </cols>
  <sheetData>
    <row r="1" spans="1:18" ht="12.75" customHeight="1">
      <c r="A1" s="385" t="s">
        <v>0</v>
      </c>
      <c r="B1" s="385"/>
      <c r="C1" s="385"/>
      <c r="D1" s="376" t="s">
        <v>369</v>
      </c>
      <c r="E1" s="377"/>
      <c r="F1" s="377"/>
      <c r="G1" s="377"/>
      <c r="H1" s="377"/>
      <c r="I1" s="377"/>
      <c r="J1" s="37"/>
      <c r="K1" s="18"/>
      <c r="L1" s="42" t="s">
        <v>1</v>
      </c>
      <c r="M1" s="380" t="s">
        <v>370</v>
      </c>
      <c r="N1" s="381"/>
      <c r="O1" s="378" t="s">
        <v>89</v>
      </c>
      <c r="P1" s="378"/>
      <c r="Q1" s="378"/>
      <c r="R1" s="251" t="s">
        <v>371</v>
      </c>
    </row>
    <row r="2" spans="4:18" ht="12.75" customHeight="1">
      <c r="D2" s="354" t="s">
        <v>87</v>
      </c>
      <c r="E2" s="354"/>
      <c r="F2" s="354"/>
      <c r="G2" s="354"/>
      <c r="H2" s="354"/>
      <c r="I2" s="354"/>
      <c r="M2" s="36"/>
      <c r="O2" s="43"/>
      <c r="P2" s="43"/>
      <c r="Q2" s="36"/>
      <c r="R2" s="39"/>
    </row>
    <row r="3" spans="4:18" ht="12.75" customHeight="1">
      <c r="D3" s="353"/>
      <c r="E3" s="353"/>
      <c r="F3" s="353"/>
      <c r="G3" s="353"/>
      <c r="H3" s="353"/>
      <c r="I3" s="353"/>
      <c r="M3" s="36"/>
      <c r="O3" s="43"/>
      <c r="P3" s="43"/>
      <c r="Q3" s="36"/>
      <c r="R3" s="39"/>
    </row>
    <row r="4" spans="4:18" ht="12.75" customHeight="1">
      <c r="D4" s="354" t="s">
        <v>88</v>
      </c>
      <c r="E4" s="354"/>
      <c r="F4" s="354"/>
      <c r="G4" s="354"/>
      <c r="H4" s="354"/>
      <c r="I4" s="354"/>
      <c r="L4" s="361"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361"/>
      <c r="N4" s="361"/>
      <c r="O4" s="361"/>
      <c r="P4" s="361"/>
      <c r="Q4" s="361"/>
      <c r="R4" s="361"/>
    </row>
    <row r="5" spans="12:18" ht="12.75" customHeight="1">
      <c r="L5" s="361">
        <f>IF('Charter Contact Info'!C24="","Please enter a SIS Vendor on the Charter Contact Info Tab","")</f>
      </c>
      <c r="M5" s="361"/>
      <c r="N5" s="361"/>
      <c r="O5" s="361"/>
      <c r="P5" s="361"/>
      <c r="Q5" s="361"/>
      <c r="R5" s="361"/>
    </row>
    <row r="6" spans="1:18" ht="18" customHeight="1">
      <c r="A6" s="36"/>
      <c r="B6" s="386" t="s">
        <v>290</v>
      </c>
      <c r="C6" s="386"/>
      <c r="D6" s="386"/>
      <c r="E6" s="386"/>
      <c r="F6" s="386"/>
      <c r="G6" s="386"/>
      <c r="H6" s="386"/>
      <c r="I6" s="386"/>
      <c r="J6" s="45"/>
      <c r="K6" s="47" t="s">
        <v>43</v>
      </c>
      <c r="L6" s="349" t="s">
        <v>292</v>
      </c>
      <c r="M6" s="350"/>
      <c r="N6" s="350"/>
      <c r="O6" s="350"/>
      <c r="P6" s="350"/>
      <c r="Q6" s="48" t="s">
        <v>4</v>
      </c>
      <c r="R6" s="49">
        <f>'[1]Cover'!$R$19</f>
        <v>3289717</v>
      </c>
    </row>
    <row r="7" spans="1:18" ht="12.75">
      <c r="A7" s="36"/>
      <c r="B7" s="36"/>
      <c r="C7" s="36"/>
      <c r="D7" s="36"/>
      <c r="E7" s="36"/>
      <c r="F7" s="36"/>
      <c r="G7" s="36"/>
      <c r="H7" s="37"/>
      <c r="I7" s="37"/>
      <c r="J7" s="45"/>
      <c r="K7" s="47"/>
      <c r="L7" s="349"/>
      <c r="M7" s="350"/>
      <c r="N7" s="350"/>
      <c r="O7" s="350"/>
      <c r="P7" s="350"/>
      <c r="Q7" s="48"/>
      <c r="R7" s="326"/>
    </row>
    <row r="8" spans="1:18" ht="18" customHeight="1">
      <c r="A8" s="36"/>
      <c r="B8" s="386" t="s">
        <v>2</v>
      </c>
      <c r="C8" s="386"/>
      <c r="D8" s="386"/>
      <c r="E8" s="386"/>
      <c r="F8" s="386"/>
      <c r="G8" s="386"/>
      <c r="H8" s="386"/>
      <c r="I8" s="386"/>
      <c r="J8" s="46"/>
      <c r="K8" s="47" t="s">
        <v>44</v>
      </c>
      <c r="L8" s="355" t="s">
        <v>293</v>
      </c>
      <c r="M8" s="355"/>
      <c r="N8" s="355"/>
      <c r="O8" s="355"/>
      <c r="P8" s="355"/>
      <c r="Q8" s="355"/>
      <c r="R8" s="326"/>
    </row>
    <row r="9" spans="1:18" ht="12.75">
      <c r="A9" s="36"/>
      <c r="B9" s="36"/>
      <c r="C9" s="36"/>
      <c r="D9" s="36"/>
      <c r="E9" s="36"/>
      <c r="F9" s="36"/>
      <c r="G9" s="36"/>
      <c r="H9" s="37"/>
      <c r="I9" s="37"/>
      <c r="J9" s="45"/>
      <c r="L9" s="36"/>
      <c r="M9" s="36"/>
      <c r="N9" s="36"/>
      <c r="O9" s="44" t="s">
        <v>5</v>
      </c>
      <c r="P9" s="51" t="s">
        <v>6</v>
      </c>
      <c r="Q9" s="52" t="s">
        <v>4</v>
      </c>
      <c r="R9" s="53">
        <f>4292880-R11-R12+2589</f>
        <v>554908</v>
      </c>
    </row>
    <row r="10" spans="1:18" ht="12.75" customHeight="1">
      <c r="A10" s="36"/>
      <c r="B10" s="370" t="s">
        <v>3</v>
      </c>
      <c r="C10" s="370"/>
      <c r="D10" s="370"/>
      <c r="E10" s="370"/>
      <c r="F10" s="370"/>
      <c r="G10" s="370"/>
      <c r="H10" s="370"/>
      <c r="I10" s="370"/>
      <c r="J10" s="379"/>
      <c r="K10" s="47"/>
      <c r="L10" s="321"/>
      <c r="M10" s="321"/>
      <c r="N10" s="321"/>
      <c r="O10" s="44" t="s">
        <v>8</v>
      </c>
      <c r="P10" s="51" t="s">
        <v>9</v>
      </c>
      <c r="Q10" s="52" t="s">
        <v>4</v>
      </c>
      <c r="R10" s="49"/>
    </row>
    <row r="11" spans="1:18" ht="12.75" customHeight="1">
      <c r="A11" s="36"/>
      <c r="B11" s="370"/>
      <c r="C11" s="370"/>
      <c r="D11" s="370"/>
      <c r="E11" s="370"/>
      <c r="F11" s="370"/>
      <c r="G11" s="370"/>
      <c r="H11" s="370"/>
      <c r="I11" s="370"/>
      <c r="J11" s="379"/>
      <c r="O11" s="44" t="s">
        <v>7</v>
      </c>
      <c r="P11" s="51" t="s">
        <v>68</v>
      </c>
      <c r="Q11" s="52" t="s">
        <v>4</v>
      </c>
      <c r="R11" s="54">
        <v>3701623</v>
      </c>
    </row>
    <row r="12" spans="1:18" ht="12.75" customHeight="1">
      <c r="A12" s="36"/>
      <c r="B12" s="36"/>
      <c r="C12" s="36"/>
      <c r="D12" s="353" t="s">
        <v>81</v>
      </c>
      <c r="E12" s="353"/>
      <c r="F12" s="353"/>
      <c r="G12" s="353"/>
      <c r="H12" s="353"/>
      <c r="I12" s="37"/>
      <c r="J12" s="45"/>
      <c r="O12" s="44" t="s">
        <v>10</v>
      </c>
      <c r="P12" s="51" t="s">
        <v>69</v>
      </c>
      <c r="Q12" s="52" t="s">
        <v>4</v>
      </c>
      <c r="R12" s="54">
        <v>38938</v>
      </c>
    </row>
    <row r="13" spans="2:18" ht="12.75" customHeight="1">
      <c r="B13" s="365" t="s">
        <v>79</v>
      </c>
      <c r="C13" s="365"/>
      <c r="D13" s="366"/>
      <c r="E13" s="366"/>
      <c r="F13" s="366"/>
      <c r="G13" s="366"/>
      <c r="H13" s="366"/>
      <c r="I13" s="365"/>
      <c r="J13" s="50"/>
      <c r="O13" s="35" t="s">
        <v>45</v>
      </c>
      <c r="Q13" s="52" t="s">
        <v>4</v>
      </c>
      <c r="R13" s="55">
        <f>SUM(R9:R12)</f>
        <v>4295469</v>
      </c>
    </row>
    <row r="14" spans="10:18" ht="12.75" customHeight="1">
      <c r="J14" s="50"/>
      <c r="P14" s="51"/>
      <c r="Q14" s="52"/>
      <c r="R14" s="327"/>
    </row>
    <row r="15" spans="1:18" ht="12.75" customHeight="1">
      <c r="A15" s="37"/>
      <c r="B15" s="37"/>
      <c r="C15" s="37"/>
      <c r="I15" s="37"/>
      <c r="J15" s="50"/>
      <c r="L15" s="367" t="s">
        <v>138</v>
      </c>
      <c r="M15" s="367"/>
      <c r="N15" s="367"/>
      <c r="O15" s="368" t="s">
        <v>374</v>
      </c>
      <c r="P15" s="369"/>
      <c r="Q15" s="369"/>
      <c r="R15" s="369"/>
    </row>
    <row r="16" spans="1:18" ht="12.75" customHeight="1">
      <c r="A16" s="38"/>
      <c r="B16" s="373" t="s">
        <v>80</v>
      </c>
      <c r="C16" s="373"/>
      <c r="D16" s="373"/>
      <c r="E16" s="373"/>
      <c r="F16" s="373"/>
      <c r="G16" s="373"/>
      <c r="H16" s="373"/>
      <c r="I16" s="373"/>
      <c r="J16" s="50"/>
      <c r="L16" s="59" t="s">
        <v>136</v>
      </c>
      <c r="M16" s="360">
        <v>6024387045</v>
      </c>
      <c r="N16" s="360"/>
      <c r="O16" s="52" t="s">
        <v>137</v>
      </c>
      <c r="P16" s="372" t="s">
        <v>375</v>
      </c>
      <c r="Q16" s="372"/>
      <c r="R16" s="372"/>
    </row>
    <row r="17" spans="10:18" ht="12.75" customHeight="1">
      <c r="J17" s="50"/>
      <c r="P17" s="51"/>
      <c r="Q17" s="52"/>
      <c r="R17" s="327"/>
    </row>
    <row r="18" spans="2:18" ht="12.75" customHeight="1">
      <c r="B18" s="37"/>
      <c r="C18" s="37"/>
      <c r="D18" s="37"/>
      <c r="E18" s="37"/>
      <c r="F18" s="37"/>
      <c r="G18" s="37"/>
      <c r="H18" s="37"/>
      <c r="I18" s="37"/>
      <c r="J18" s="50"/>
      <c r="L18" s="371" t="s">
        <v>357</v>
      </c>
      <c r="M18" s="371"/>
      <c r="N18" s="371"/>
      <c r="O18" s="371"/>
      <c r="P18" s="371"/>
      <c r="Q18" s="371"/>
      <c r="R18" s="371"/>
    </row>
    <row r="19" spans="2:18" ht="12.75" customHeight="1">
      <c r="B19" s="374" t="s">
        <v>291</v>
      </c>
      <c r="C19" s="373"/>
      <c r="D19" s="373"/>
      <c r="E19" s="373"/>
      <c r="F19" s="373"/>
      <c r="G19" s="373"/>
      <c r="H19" s="373"/>
      <c r="I19" s="373"/>
      <c r="J19" s="50"/>
      <c r="L19" s="371" t="s">
        <v>358</v>
      </c>
      <c r="M19" s="371"/>
      <c r="N19" s="371"/>
      <c r="O19" s="371"/>
      <c r="P19" s="359">
        <v>43273</v>
      </c>
      <c r="Q19" s="359"/>
      <c r="R19" s="359"/>
    </row>
    <row r="20" spans="3:18" ht="12.75" customHeight="1">
      <c r="C20" s="358" t="s">
        <v>81</v>
      </c>
      <c r="D20" s="358"/>
      <c r="F20" s="359">
        <v>43271</v>
      </c>
      <c r="G20" s="359"/>
      <c r="H20" s="359"/>
      <c r="I20" s="343">
        <f>IF(AND(ISNUMBER(SEARCH("Proposed*",D12)),F20=""),"Please enter a Proposed Date","")</f>
      </c>
      <c r="J20" s="50"/>
      <c r="L20" s="363">
        <f>IF(P19="","Please enter upload by date",IF(P19&gt;=MAX(F20,F21,F22),"","Revise upload date for current submission"))</f>
      </c>
      <c r="M20" s="363"/>
      <c r="N20" s="363"/>
      <c r="O20" s="363"/>
      <c r="P20" s="362" t="s">
        <v>355</v>
      </c>
      <c r="Q20" s="362"/>
      <c r="R20" s="362"/>
    </row>
    <row r="21" spans="3:18" ht="12.75" customHeight="1">
      <c r="C21" s="358" t="s">
        <v>82</v>
      </c>
      <c r="D21" s="358"/>
      <c r="F21" s="382"/>
      <c r="G21" s="382"/>
      <c r="H21" s="382"/>
      <c r="I21" s="342">
        <f>IF(AND(ISNUMBER(SEARCH("Adopted*",D12)),F21=""),"Please enter an Adopted Date","")</f>
      </c>
      <c r="J21" s="50"/>
      <c r="L21" s="356"/>
      <c r="M21" s="357"/>
      <c r="N21" s="357"/>
      <c r="O21" s="357"/>
      <c r="P21" s="357"/>
      <c r="Q21" s="357"/>
      <c r="R21" s="357"/>
    </row>
    <row r="22" spans="1:18" ht="12.75" customHeight="1">
      <c r="A22" s="39"/>
      <c r="C22" s="358" t="s">
        <v>83</v>
      </c>
      <c r="D22" s="358"/>
      <c r="F22" s="382"/>
      <c r="G22" s="382"/>
      <c r="H22" s="382"/>
      <c r="I22" s="317">
        <f>IF(AND(ISNUMBER(SEARCH("Revised*",D12)),F22=""),"Please enter a Revised Date","")</f>
      </c>
      <c r="J22" s="56"/>
      <c r="L22" s="353"/>
      <c r="M22" s="353"/>
      <c r="N22" s="353"/>
      <c r="O22" s="307"/>
      <c r="P22" s="353"/>
      <c r="Q22" s="353"/>
      <c r="R22" s="353"/>
    </row>
    <row r="23" spans="6:22" ht="12.75" customHeight="1">
      <c r="F23" s="354" t="s">
        <v>84</v>
      </c>
      <c r="G23" s="354"/>
      <c r="H23" s="354"/>
      <c r="I23" s="18"/>
      <c r="J23" s="50"/>
      <c r="L23" s="375" t="s">
        <v>251</v>
      </c>
      <c r="M23" s="375"/>
      <c r="N23" s="375"/>
      <c r="O23" s="306"/>
      <c r="P23" s="375" t="s">
        <v>251</v>
      </c>
      <c r="Q23" s="375"/>
      <c r="R23" s="375"/>
      <c r="S23" s="305"/>
      <c r="T23" s="305"/>
      <c r="U23" s="305"/>
      <c r="V23" s="111"/>
    </row>
    <row r="24" spans="2:18" ht="12.75" customHeight="1">
      <c r="B24" s="57"/>
      <c r="E24" s="58"/>
      <c r="I24" s="18"/>
      <c r="J24" s="50"/>
      <c r="L24" s="17"/>
      <c r="M24" s="17"/>
      <c r="N24" s="17"/>
      <c r="O24" s="17"/>
      <c r="P24" s="17"/>
      <c r="Q24" s="17"/>
      <c r="R24" s="17"/>
    </row>
    <row r="25" spans="1:18" ht="12.75" customHeight="1">
      <c r="A25" s="351"/>
      <c r="B25" s="351"/>
      <c r="C25" s="351"/>
      <c r="D25" s="351"/>
      <c r="E25" s="351"/>
      <c r="F25" s="351"/>
      <c r="G25" s="351"/>
      <c r="H25" s="351"/>
      <c r="I25" s="351"/>
      <c r="J25" s="352"/>
      <c r="L25" s="364">
        <f>IF(OR(L26="",P26=""),"Please enter typed school official names","")</f>
      </c>
      <c r="M25" s="364"/>
      <c r="N25" s="364"/>
      <c r="O25" s="364"/>
      <c r="P25" s="364"/>
      <c r="Q25" s="364"/>
      <c r="R25" s="364"/>
    </row>
    <row r="26" spans="1:18" ht="12.75" customHeight="1">
      <c r="A26" s="351"/>
      <c r="B26" s="351"/>
      <c r="C26" s="351"/>
      <c r="D26" s="351"/>
      <c r="E26" s="351"/>
      <c r="F26" s="351"/>
      <c r="G26" s="351"/>
      <c r="H26" s="351"/>
      <c r="I26" s="351"/>
      <c r="J26" s="352"/>
      <c r="L26" s="353" t="s">
        <v>372</v>
      </c>
      <c r="M26" s="353"/>
      <c r="N26" s="353"/>
      <c r="O26" s="63"/>
      <c r="P26" s="353" t="s">
        <v>373</v>
      </c>
      <c r="Q26" s="353"/>
      <c r="R26" s="353"/>
    </row>
    <row r="27" spans="1:18" ht="12.75" customHeight="1">
      <c r="A27" s="351"/>
      <c r="B27" s="351"/>
      <c r="C27" s="351"/>
      <c r="D27" s="351"/>
      <c r="E27" s="351"/>
      <c r="F27" s="351"/>
      <c r="G27" s="351"/>
      <c r="H27" s="351"/>
      <c r="I27" s="351"/>
      <c r="J27" s="352"/>
      <c r="L27" s="375" t="s">
        <v>253</v>
      </c>
      <c r="M27" s="354"/>
      <c r="N27" s="354"/>
      <c r="O27" s="63"/>
      <c r="P27" s="375" t="s">
        <v>253</v>
      </c>
      <c r="Q27" s="354"/>
      <c r="R27" s="354"/>
    </row>
    <row r="28" spans="2:10" ht="12.75" customHeight="1">
      <c r="B28" s="38"/>
      <c r="C28" s="57"/>
      <c r="D28" s="61"/>
      <c r="E28" s="37"/>
      <c r="F28" s="39"/>
      <c r="G28" s="62"/>
      <c r="H28" s="60"/>
      <c r="I28" s="60"/>
      <c r="J28" s="46"/>
    </row>
    <row r="29" spans="1:19" ht="12.75" customHeight="1">
      <c r="A29" s="384"/>
      <c r="B29" s="384"/>
      <c r="C29" s="384"/>
      <c r="D29" s="384"/>
      <c r="E29" s="384"/>
      <c r="F29" s="38"/>
      <c r="G29" s="383"/>
      <c r="H29" s="383"/>
      <c r="I29" s="383"/>
      <c r="J29" s="46"/>
      <c r="L29" s="388"/>
      <c r="M29" s="388"/>
      <c r="N29" s="388"/>
      <c r="O29" s="306"/>
      <c r="P29" s="389"/>
      <c r="Q29" s="389"/>
      <c r="R29" s="389"/>
      <c r="S29" s="18"/>
    </row>
    <row r="30" spans="1:19" ht="12.75" customHeight="1">
      <c r="A30" s="37"/>
      <c r="B30" s="37"/>
      <c r="C30" s="37"/>
      <c r="D30" s="37"/>
      <c r="E30" s="37"/>
      <c r="F30" s="37"/>
      <c r="G30" s="37"/>
      <c r="H30" s="60"/>
      <c r="I30" s="60"/>
      <c r="J30" s="46"/>
      <c r="L30" s="387" t="s">
        <v>360</v>
      </c>
      <c r="M30" s="387"/>
      <c r="N30" s="387"/>
      <c r="O30" s="387"/>
      <c r="P30" s="387"/>
      <c r="Q30" s="387"/>
      <c r="R30" s="387"/>
      <c r="S30" s="387"/>
    </row>
    <row r="31" spans="1:18" ht="12.75" customHeight="1">
      <c r="A31" s="384"/>
      <c r="B31" s="384"/>
      <c r="C31" s="384"/>
      <c r="D31" s="384"/>
      <c r="E31" s="384"/>
      <c r="F31" s="38"/>
      <c r="G31" s="383"/>
      <c r="H31" s="383"/>
      <c r="I31" s="383"/>
      <c r="J31" s="50"/>
      <c r="L31" s="364">
        <f>IF(OR(BudgetYearSalary=0,PriorYearSalary=0),"Average teacher salary information is not complete","")</f>
      </c>
      <c r="M31" s="364"/>
      <c r="N31" s="364"/>
      <c r="O31" s="364"/>
      <c r="P31" s="364"/>
      <c r="Q31" s="364"/>
      <c r="R31" s="364"/>
    </row>
    <row r="32" spans="1:19" ht="12.75" customHeight="1">
      <c r="A32" s="40"/>
      <c r="B32" s="40"/>
      <c r="C32" s="40"/>
      <c r="D32" s="40"/>
      <c r="E32" s="40"/>
      <c r="F32" s="37"/>
      <c r="G32" s="40"/>
      <c r="H32" s="18"/>
      <c r="I32" s="18"/>
      <c r="J32" s="50"/>
      <c r="L32" s="308" t="s">
        <v>361</v>
      </c>
      <c r="M32" s="319"/>
      <c r="N32" s="319"/>
      <c r="O32" s="320"/>
      <c r="P32" s="320"/>
      <c r="Q32" s="52" t="s">
        <v>4</v>
      </c>
      <c r="R32" s="316">
        <v>43305</v>
      </c>
      <c r="S32" s="344">
        <f>IF(OR(BudgetYearSalary=0,PriorYearSalary=0),1/error,"")</f>
      </c>
    </row>
    <row r="33" spans="1:19" ht="12.75" customHeight="1">
      <c r="A33" s="384"/>
      <c r="B33" s="384"/>
      <c r="C33" s="384"/>
      <c r="D33" s="384"/>
      <c r="E33" s="384"/>
      <c r="F33" s="38"/>
      <c r="G33" s="383"/>
      <c r="H33" s="383"/>
      <c r="I33" s="383"/>
      <c r="J33" s="50"/>
      <c r="L33" s="309" t="s">
        <v>362</v>
      </c>
      <c r="M33" s="37"/>
      <c r="N33" s="37"/>
      <c r="O33" s="320"/>
      <c r="P33" s="320"/>
      <c r="Q33" s="52" t="s">
        <v>4</v>
      </c>
      <c r="R33" s="54">
        <v>40054</v>
      </c>
      <c r="S33" s="18"/>
    </row>
    <row r="34" spans="1:19" s="35" customFormat="1" ht="12.75" customHeight="1">
      <c r="A34" s="40"/>
      <c r="B34" s="40"/>
      <c r="C34" s="40"/>
      <c r="D34" s="40"/>
      <c r="E34" s="40"/>
      <c r="F34" s="37"/>
      <c r="G34" s="40"/>
      <c r="H34" s="18"/>
      <c r="I34" s="18"/>
      <c r="J34" s="50"/>
      <c r="L34" s="309" t="s">
        <v>363</v>
      </c>
      <c r="M34" s="37"/>
      <c r="N34" s="37"/>
      <c r="O34" s="320"/>
      <c r="P34" s="320"/>
      <c r="Q34" s="52" t="s">
        <v>4</v>
      </c>
      <c r="R34" s="55">
        <f>R32-R33</f>
        <v>3251</v>
      </c>
      <c r="S34" s="37"/>
    </row>
    <row r="35" spans="1:18" s="35" customFormat="1" ht="12.75" customHeight="1">
      <c r="A35" s="384"/>
      <c r="B35" s="384"/>
      <c r="C35" s="384"/>
      <c r="D35" s="384"/>
      <c r="E35" s="384"/>
      <c r="F35" s="38"/>
      <c r="G35" s="383"/>
      <c r="H35" s="383"/>
      <c r="I35" s="383"/>
      <c r="J35" s="64"/>
      <c r="L35" s="309" t="s">
        <v>306</v>
      </c>
      <c r="M35" s="37"/>
      <c r="N35" s="37"/>
      <c r="O35" s="37"/>
      <c r="P35" s="37"/>
      <c r="Q35" s="52"/>
      <c r="R35" s="328">
        <f>IF(PriorYearSalary&gt;0,R34/R33,0)</f>
        <v>0.081</v>
      </c>
    </row>
    <row r="36" spans="1:18" s="35" customFormat="1" ht="12.75" customHeight="1">
      <c r="A36" s="37"/>
      <c r="B36" s="37"/>
      <c r="C36" s="37"/>
      <c r="D36" s="60"/>
      <c r="E36" s="60"/>
      <c r="F36" s="60"/>
      <c r="G36" s="60"/>
      <c r="H36" s="65"/>
      <c r="I36" s="65"/>
      <c r="J36" s="64"/>
      <c r="L36" s="309"/>
      <c r="M36" s="37"/>
      <c r="N36" s="37"/>
      <c r="O36" s="320"/>
      <c r="P36" s="320"/>
      <c r="Q36" s="52"/>
      <c r="R36" s="327"/>
    </row>
    <row r="37" spans="1:18" s="37" customFormat="1" ht="12.75" customHeight="1">
      <c r="A37" s="384"/>
      <c r="B37" s="384"/>
      <c r="C37" s="384"/>
      <c r="D37" s="384"/>
      <c r="E37" s="384"/>
      <c r="F37" s="38"/>
      <c r="G37" s="383"/>
      <c r="H37" s="383"/>
      <c r="I37" s="383"/>
      <c r="J37" s="65"/>
      <c r="K37" s="323"/>
      <c r="L37" s="325" t="s">
        <v>354</v>
      </c>
      <c r="M37" s="325"/>
      <c r="N37" s="325"/>
      <c r="O37" s="325"/>
      <c r="P37" s="325"/>
      <c r="Q37" s="325"/>
      <c r="R37" s="325"/>
    </row>
    <row r="38" spans="1:19" s="35" customFormat="1" ht="12.75" customHeight="1">
      <c r="A38" s="37"/>
      <c r="B38" s="37"/>
      <c r="C38" s="37"/>
      <c r="D38" s="60"/>
      <c r="E38" s="60"/>
      <c r="F38" s="60"/>
      <c r="G38" s="60"/>
      <c r="H38" s="65"/>
      <c r="I38" s="65"/>
      <c r="J38" s="65"/>
      <c r="K38" s="324"/>
      <c r="L38" s="390" t="s">
        <v>376</v>
      </c>
      <c r="M38" s="391"/>
      <c r="N38" s="391"/>
      <c r="O38" s="391"/>
      <c r="P38" s="391"/>
      <c r="Q38" s="391"/>
      <c r="R38" s="392"/>
      <c r="S38" s="323"/>
    </row>
    <row r="39" spans="1:19" s="37" customFormat="1" ht="12.75" customHeight="1">
      <c r="A39" s="384"/>
      <c r="B39" s="384"/>
      <c r="C39" s="384"/>
      <c r="D39" s="384"/>
      <c r="E39" s="384"/>
      <c r="F39" s="38"/>
      <c r="G39" s="383"/>
      <c r="H39" s="383"/>
      <c r="I39" s="383"/>
      <c r="J39" s="65"/>
      <c r="K39" s="324"/>
      <c r="L39" s="393"/>
      <c r="M39" s="394"/>
      <c r="N39" s="394"/>
      <c r="O39" s="394"/>
      <c r="P39" s="394"/>
      <c r="Q39" s="394"/>
      <c r="R39" s="395"/>
      <c r="S39" s="323"/>
    </row>
    <row r="40" spans="1:19" s="35" customFormat="1" ht="12.75" customHeight="1">
      <c r="A40" s="37"/>
      <c r="B40" s="37"/>
      <c r="C40" s="37"/>
      <c r="D40" s="60"/>
      <c r="E40" s="60"/>
      <c r="F40" s="60"/>
      <c r="G40" s="60"/>
      <c r="H40" s="65"/>
      <c r="I40" s="65"/>
      <c r="J40" s="65"/>
      <c r="K40" s="324"/>
      <c r="L40" s="393"/>
      <c r="M40" s="394"/>
      <c r="N40" s="394"/>
      <c r="O40" s="394"/>
      <c r="P40" s="394"/>
      <c r="Q40" s="394"/>
      <c r="R40" s="395"/>
      <c r="S40" s="323"/>
    </row>
    <row r="41" spans="1:19" s="37" customFormat="1" ht="12.75" customHeight="1">
      <c r="A41" s="384"/>
      <c r="B41" s="384"/>
      <c r="C41" s="384"/>
      <c r="D41" s="384"/>
      <c r="E41" s="384"/>
      <c r="F41" s="38"/>
      <c r="G41" s="383"/>
      <c r="H41" s="383"/>
      <c r="I41" s="383"/>
      <c r="J41" s="65"/>
      <c r="K41" s="324"/>
      <c r="L41" s="393"/>
      <c r="M41" s="394"/>
      <c r="N41" s="394"/>
      <c r="O41" s="394"/>
      <c r="P41" s="394"/>
      <c r="Q41" s="394"/>
      <c r="R41" s="395"/>
      <c r="S41" s="323"/>
    </row>
    <row r="42" spans="1:19" s="35" customFormat="1" ht="12.75" customHeight="1">
      <c r="A42" s="354" t="s">
        <v>85</v>
      </c>
      <c r="B42" s="354"/>
      <c r="C42" s="354"/>
      <c r="D42" s="354"/>
      <c r="E42" s="354"/>
      <c r="F42" s="38"/>
      <c r="G42" s="354" t="s">
        <v>42</v>
      </c>
      <c r="H42" s="354"/>
      <c r="I42" s="354"/>
      <c r="J42" s="18"/>
      <c r="K42" s="324"/>
      <c r="L42" s="396"/>
      <c r="M42" s="397"/>
      <c r="N42" s="397"/>
      <c r="O42" s="397"/>
      <c r="P42" s="397"/>
      <c r="Q42" s="397"/>
      <c r="R42" s="398"/>
      <c r="S42" s="323"/>
    </row>
    <row r="43" spans="8:11" s="35" customFormat="1" ht="12.75" customHeight="1">
      <c r="H43" s="18"/>
      <c r="I43" s="18"/>
      <c r="J43" s="18"/>
      <c r="K43" s="37"/>
    </row>
    <row r="44" spans="8:11" s="35" customFormat="1" ht="12.75" customHeight="1">
      <c r="H44" s="18"/>
      <c r="I44" s="18"/>
      <c r="J44" s="18"/>
      <c r="K44" s="37"/>
    </row>
  </sheetData>
  <sheetProtection sheet="1"/>
  <mergeCells count="71">
    <mergeCell ref="L29:N29"/>
    <mergeCell ref="P29:R29"/>
    <mergeCell ref="P22:R22"/>
    <mergeCell ref="L23:N23"/>
    <mergeCell ref="P23:R23"/>
    <mergeCell ref="A41:E41"/>
    <mergeCell ref="L31:R31"/>
    <mergeCell ref="L38:R42"/>
    <mergeCell ref="A35:E35"/>
    <mergeCell ref="A29:E29"/>
    <mergeCell ref="G35:I35"/>
    <mergeCell ref="A33:E33"/>
    <mergeCell ref="G42:I42"/>
    <mergeCell ref="L30:S30"/>
    <mergeCell ref="A42:E42"/>
    <mergeCell ref="A37:E37"/>
    <mergeCell ref="A39:E39"/>
    <mergeCell ref="F21:H21"/>
    <mergeCell ref="A1:C1"/>
    <mergeCell ref="B6:I6"/>
    <mergeCell ref="B8:I8"/>
    <mergeCell ref="B10:I10"/>
    <mergeCell ref="G41:I41"/>
    <mergeCell ref="D2:I2"/>
    <mergeCell ref="D3:I3"/>
    <mergeCell ref="G37:I37"/>
    <mergeCell ref="G39:I39"/>
    <mergeCell ref="F22:H22"/>
    <mergeCell ref="C22:D22"/>
    <mergeCell ref="G29:I29"/>
    <mergeCell ref="G33:I33"/>
    <mergeCell ref="G31:I31"/>
    <mergeCell ref="A27:J27"/>
    <mergeCell ref="A26:J26"/>
    <mergeCell ref="A31:E31"/>
    <mergeCell ref="P27:R27"/>
    <mergeCell ref="D1:I1"/>
    <mergeCell ref="L19:O19"/>
    <mergeCell ref="O1:Q1"/>
    <mergeCell ref="J10:J11"/>
    <mergeCell ref="M1:N1"/>
    <mergeCell ref="L27:N27"/>
    <mergeCell ref="L26:N26"/>
    <mergeCell ref="P26:R26"/>
    <mergeCell ref="L22:N22"/>
    <mergeCell ref="C20:D20"/>
    <mergeCell ref="L18:R18"/>
    <mergeCell ref="P19:R19"/>
    <mergeCell ref="P16:R16"/>
    <mergeCell ref="B16:I16"/>
    <mergeCell ref="B19:I19"/>
    <mergeCell ref="L4:R4"/>
    <mergeCell ref="L5:R5"/>
    <mergeCell ref="P20:R20"/>
    <mergeCell ref="L20:O20"/>
    <mergeCell ref="L25:R25"/>
    <mergeCell ref="B13:I13"/>
    <mergeCell ref="L15:N15"/>
    <mergeCell ref="O15:R15"/>
    <mergeCell ref="D4:I4"/>
    <mergeCell ref="B11:I11"/>
    <mergeCell ref="L6:P6"/>
    <mergeCell ref="L7:P7"/>
    <mergeCell ref="A25:J25"/>
    <mergeCell ref="D12:H12"/>
    <mergeCell ref="F23:H23"/>
    <mergeCell ref="L8:Q8"/>
    <mergeCell ref="L21:R21"/>
    <mergeCell ref="C21:D21"/>
    <mergeCell ref="F20:H20"/>
    <mergeCell ref="M16:N16"/>
  </mergeCells>
  <dataValidations count="8">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s>
  <hyperlinks>
    <hyperlink ref="O1:Q1" location="CTDSNumber" display="CTDS NUMBER"/>
    <hyperlink ref="B13:I13" location="Version" display="Version"/>
    <hyperlink ref="L30:O30" location="AverageTeacherSalaries" display="AVERAGE TEACHER SALARIES (A.R.S. §15-905.E)"/>
    <hyperlink ref="L8:Q8" location="EstimatedRevenues" display="ESTIMATED REVENUES BY SOURCE FOR FISCAL YEAR 2019"/>
  </hyperlinks>
  <printOptions horizontalCentered="1" verticalCentered="1"/>
  <pageMargins left="0.75" right="0.5" top="0.25" bottom="0.25" header="0" footer="0"/>
  <pageSetup horizontalDpi="600" verticalDpi="600" orientation="landscape" paperSize="5" r:id="rId2"/>
  <headerFooter>
    <oddFooter>&amp;L&amp;"Arial,Bold"Rev. 5/18&amp;C&amp;"Arial,Bold"FY 2019</oddFooter>
  </headerFooter>
  <drawing r:id="rId1"/>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F14" sqref="F14"/>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331" customWidth="1"/>
  </cols>
  <sheetData>
    <row r="1" spans="1:8" ht="12.75">
      <c r="A1" s="340" t="s">
        <v>0</v>
      </c>
      <c r="B1" s="399" t="str">
        <f>Cover!D1</f>
        <v>North Phoenix Preparatory Academy</v>
      </c>
      <c r="C1" s="399"/>
      <c r="D1" s="333"/>
      <c r="E1" s="334" t="s">
        <v>335</v>
      </c>
      <c r="F1" s="332" t="str">
        <f>Cover!M1</f>
        <v>Maricopa</v>
      </c>
      <c r="G1" s="334" t="s">
        <v>336</v>
      </c>
      <c r="H1" s="348" t="str">
        <f>[0]!CTD</f>
        <v>078584000</v>
      </c>
    </row>
    <row r="2" spans="2:8" ht="12.75">
      <c r="B2" s="337"/>
      <c r="C2" s="337"/>
      <c r="D2" s="333"/>
      <c r="E2" s="334"/>
      <c r="F2" s="335"/>
      <c r="G2" s="334"/>
      <c r="H2" s="338"/>
    </row>
    <row r="3" spans="2:8" ht="12.75">
      <c r="B3" s="337"/>
      <c r="C3" s="337"/>
      <c r="D3" s="333"/>
      <c r="E3" s="334"/>
      <c r="F3" s="335"/>
      <c r="G3" s="334"/>
      <c r="H3" s="338"/>
    </row>
    <row r="4" spans="2:8" ht="12.75">
      <c r="B4" s="337"/>
      <c r="C4" s="400" t="s">
        <v>348</v>
      </c>
      <c r="D4" s="400"/>
      <c r="E4" s="400"/>
      <c r="F4" s="400"/>
      <c r="G4" s="400"/>
      <c r="H4" s="400"/>
    </row>
    <row r="5" ht="12.75">
      <c r="Z5" s="331" t="s">
        <v>333</v>
      </c>
    </row>
    <row r="6" spans="3:26" ht="12.75">
      <c r="C6" s="346" t="s">
        <v>316</v>
      </c>
      <c r="D6" s="346" t="s">
        <v>317</v>
      </c>
      <c r="E6" s="346" t="s">
        <v>318</v>
      </c>
      <c r="F6" s="346" t="s">
        <v>319</v>
      </c>
      <c r="G6" s="346" t="s">
        <v>356</v>
      </c>
      <c r="H6" s="346" t="s">
        <v>320</v>
      </c>
      <c r="Z6" s="331" t="s">
        <v>322</v>
      </c>
    </row>
    <row r="7" spans="1:26" ht="12.75">
      <c r="A7" s="401" t="s">
        <v>312</v>
      </c>
      <c r="B7" s="402"/>
      <c r="C7" s="336"/>
      <c r="D7" s="336" t="s">
        <v>377</v>
      </c>
      <c r="E7" s="336" t="s">
        <v>378</v>
      </c>
      <c r="F7" s="336"/>
      <c r="G7" s="347" t="s">
        <v>379</v>
      </c>
      <c r="H7" s="345">
        <v>6024387045</v>
      </c>
      <c r="Z7" s="331" t="s">
        <v>321</v>
      </c>
    </row>
    <row r="8" spans="1:26" ht="12.75">
      <c r="A8" s="401" t="s">
        <v>312</v>
      </c>
      <c r="B8" s="402"/>
      <c r="C8" s="336"/>
      <c r="D8" s="336"/>
      <c r="E8" s="336"/>
      <c r="F8" s="336"/>
      <c r="G8" s="347"/>
      <c r="H8" s="345"/>
      <c r="Z8" s="331" t="s">
        <v>323</v>
      </c>
    </row>
    <row r="9" spans="1:26" ht="12.75">
      <c r="A9" s="401" t="s">
        <v>313</v>
      </c>
      <c r="B9" s="402"/>
      <c r="C9" s="336"/>
      <c r="D9" s="336" t="s">
        <v>380</v>
      </c>
      <c r="E9" s="336" t="s">
        <v>381</v>
      </c>
      <c r="F9" s="336"/>
      <c r="G9" s="347" t="s">
        <v>382</v>
      </c>
      <c r="H9" s="345">
        <v>6024387045</v>
      </c>
      <c r="Z9" s="341" t="s">
        <v>324</v>
      </c>
    </row>
    <row r="10" spans="1:8" ht="12.75">
      <c r="A10" s="401" t="s">
        <v>311</v>
      </c>
      <c r="B10" s="402"/>
      <c r="C10" s="336"/>
      <c r="D10" s="336" t="s">
        <v>383</v>
      </c>
      <c r="E10" s="336" t="s">
        <v>384</v>
      </c>
      <c r="F10" s="336"/>
      <c r="G10" s="347" t="s">
        <v>385</v>
      </c>
      <c r="H10" s="345">
        <v>6024387045</v>
      </c>
    </row>
    <row r="11" spans="1:26" ht="12.75">
      <c r="A11" s="401" t="s">
        <v>310</v>
      </c>
      <c r="B11" s="402"/>
      <c r="C11" s="336"/>
      <c r="D11" s="336" t="s">
        <v>386</v>
      </c>
      <c r="E11" s="336" t="s">
        <v>387</v>
      </c>
      <c r="F11" s="336"/>
      <c r="G11" s="347" t="s">
        <v>388</v>
      </c>
      <c r="H11" s="345">
        <v>6024387045</v>
      </c>
      <c r="W11" s="330"/>
      <c r="Z11" s="331" t="s">
        <v>334</v>
      </c>
    </row>
    <row r="12" spans="1:26" ht="12.75">
      <c r="A12" s="401" t="s">
        <v>315</v>
      </c>
      <c r="B12" s="402"/>
      <c r="C12" s="336"/>
      <c r="D12" s="336" t="s">
        <v>389</v>
      </c>
      <c r="E12" s="336" t="s">
        <v>390</v>
      </c>
      <c r="F12" s="336"/>
      <c r="G12" s="347" t="s">
        <v>391</v>
      </c>
      <c r="H12" s="345">
        <v>6024387045</v>
      </c>
      <c r="W12" s="330"/>
      <c r="Z12" s="331" t="s">
        <v>329</v>
      </c>
    </row>
    <row r="13" spans="1:26" ht="12.75">
      <c r="A13" s="401" t="s">
        <v>314</v>
      </c>
      <c r="B13" s="402"/>
      <c r="C13" s="336"/>
      <c r="D13" s="336" t="s">
        <v>393</v>
      </c>
      <c r="E13" s="336" t="s">
        <v>394</v>
      </c>
      <c r="F13" s="336"/>
      <c r="G13" s="347"/>
      <c r="H13" s="345"/>
      <c r="W13" s="330"/>
      <c r="Z13" s="331" t="s">
        <v>331</v>
      </c>
    </row>
    <row r="14" spans="1:26" ht="12.75">
      <c r="A14" s="401" t="s">
        <v>314</v>
      </c>
      <c r="B14" s="402"/>
      <c r="C14" s="336"/>
      <c r="D14" s="336" t="s">
        <v>395</v>
      </c>
      <c r="E14" s="336" t="s">
        <v>396</v>
      </c>
      <c r="F14" s="336"/>
      <c r="G14" s="347"/>
      <c r="H14" s="345"/>
      <c r="W14" s="330"/>
      <c r="Z14" s="331" t="s">
        <v>325</v>
      </c>
    </row>
    <row r="15" spans="1:26" ht="12.75">
      <c r="A15" s="401" t="s">
        <v>314</v>
      </c>
      <c r="B15" s="402"/>
      <c r="C15" s="336"/>
      <c r="D15" s="336" t="s">
        <v>397</v>
      </c>
      <c r="E15" s="336" t="s">
        <v>398</v>
      </c>
      <c r="F15" s="336"/>
      <c r="G15" s="347"/>
      <c r="H15" s="345"/>
      <c r="W15" s="330"/>
      <c r="Z15" s="331" t="s">
        <v>330</v>
      </c>
    </row>
    <row r="16" spans="1:26" ht="12.75">
      <c r="A16" s="401" t="s">
        <v>314</v>
      </c>
      <c r="B16" s="402"/>
      <c r="C16" s="336"/>
      <c r="D16" s="336" t="s">
        <v>399</v>
      </c>
      <c r="E16" s="336" t="s">
        <v>400</v>
      </c>
      <c r="F16" s="336"/>
      <c r="G16" s="347"/>
      <c r="H16" s="345"/>
      <c r="W16" s="330"/>
      <c r="Z16" s="331" t="s">
        <v>332</v>
      </c>
    </row>
    <row r="17" spans="1:26" ht="12.75">
      <c r="A17" s="401" t="s">
        <v>314</v>
      </c>
      <c r="B17" s="402"/>
      <c r="C17" s="336"/>
      <c r="D17" s="336"/>
      <c r="E17" s="336"/>
      <c r="F17" s="336"/>
      <c r="G17" s="347"/>
      <c r="H17" s="345"/>
      <c r="W17" s="330"/>
      <c r="Z17" s="331" t="s">
        <v>326</v>
      </c>
    </row>
    <row r="18" spans="1:26" ht="12.75">
      <c r="A18" s="401" t="s">
        <v>314</v>
      </c>
      <c r="B18" s="402"/>
      <c r="C18" s="336"/>
      <c r="D18" s="336"/>
      <c r="E18" s="336"/>
      <c r="F18" s="336"/>
      <c r="G18" s="347"/>
      <c r="H18" s="345"/>
      <c r="W18" s="330"/>
      <c r="Z18" s="331" t="s">
        <v>327</v>
      </c>
    </row>
    <row r="19" spans="1:26" ht="12.75">
      <c r="A19" s="401" t="s">
        <v>314</v>
      </c>
      <c r="B19" s="402"/>
      <c r="C19" s="336"/>
      <c r="D19" s="336"/>
      <c r="E19" s="336"/>
      <c r="F19" s="336"/>
      <c r="G19" s="347"/>
      <c r="H19" s="345"/>
      <c r="W19" s="330"/>
      <c r="Z19" s="331" t="s">
        <v>328</v>
      </c>
    </row>
    <row r="20" spans="1:23" ht="12.75">
      <c r="A20" s="401" t="s">
        <v>314</v>
      </c>
      <c r="B20" s="402"/>
      <c r="C20" s="336"/>
      <c r="D20" s="336"/>
      <c r="E20" s="336"/>
      <c r="F20" s="336"/>
      <c r="G20" s="347"/>
      <c r="H20" s="345"/>
      <c r="W20" s="330"/>
    </row>
    <row r="21" spans="1:23" ht="12.75">
      <c r="A21" s="401" t="s">
        <v>314</v>
      </c>
      <c r="B21" s="402"/>
      <c r="C21" s="336"/>
      <c r="D21" s="336"/>
      <c r="E21" s="336"/>
      <c r="F21" s="336"/>
      <c r="G21" s="347"/>
      <c r="H21" s="345"/>
      <c r="W21" s="330"/>
    </row>
    <row r="22" spans="1:26" ht="12.75">
      <c r="A22" s="330"/>
      <c r="B22" s="330"/>
      <c r="W22" s="330"/>
      <c r="Z22" s="341" t="s">
        <v>337</v>
      </c>
    </row>
    <row r="23" spans="1:26" ht="12.75">
      <c r="A23" s="330"/>
      <c r="B23" s="330"/>
      <c r="C23" s="409" t="s">
        <v>359</v>
      </c>
      <c r="D23" s="409"/>
      <c r="Z23" s="341" t="s">
        <v>338</v>
      </c>
    </row>
    <row r="24" spans="1:26" ht="12.75">
      <c r="A24" s="401" t="s">
        <v>349</v>
      </c>
      <c r="B24" s="402"/>
      <c r="C24" s="407" t="s">
        <v>344</v>
      </c>
      <c r="D24" s="408"/>
      <c r="Z24" s="341" t="s">
        <v>339</v>
      </c>
    </row>
    <row r="25" spans="1:26" ht="12.75">
      <c r="A25" s="330"/>
      <c r="B25" s="330"/>
      <c r="Z25" s="341" t="s">
        <v>340</v>
      </c>
    </row>
    <row r="26" spans="1:26" ht="12.75">
      <c r="A26" s="405" t="s">
        <v>367</v>
      </c>
      <c r="B26" s="406"/>
      <c r="C26" s="403" t="s">
        <v>392</v>
      </c>
      <c r="D26" s="404"/>
      <c r="Z26" s="341" t="s">
        <v>341</v>
      </c>
    </row>
    <row r="27" ht="12.75">
      <c r="Z27" s="341" t="s">
        <v>342</v>
      </c>
    </row>
    <row r="28" ht="12.75">
      <c r="Z28" s="341" t="s">
        <v>343</v>
      </c>
    </row>
    <row r="29" ht="12.75">
      <c r="Z29" s="341" t="s">
        <v>344</v>
      </c>
    </row>
    <row r="30" spans="1:26" ht="15">
      <c r="A30" s="329"/>
      <c r="B30" s="329"/>
      <c r="Z30" s="341" t="s">
        <v>345</v>
      </c>
    </row>
    <row r="31" spans="1:26" ht="12.75">
      <c r="A31" s="330"/>
      <c r="B31" s="330"/>
      <c r="Z31" s="341" t="s">
        <v>346</v>
      </c>
    </row>
    <row r="32" spans="1:26" ht="12.75">
      <c r="A32" s="330"/>
      <c r="B32" s="330"/>
      <c r="Z32" s="341" t="s">
        <v>347</v>
      </c>
    </row>
    <row r="33" spans="1:2" ht="12.75">
      <c r="A33" s="330"/>
      <c r="B33" s="330"/>
    </row>
    <row r="34" spans="1:3" ht="15">
      <c r="A34" s="410"/>
      <c r="B34" s="410"/>
      <c r="C34" s="330"/>
    </row>
    <row r="35" spans="2:3" ht="12.75">
      <c r="B35" s="330"/>
      <c r="C35" s="330"/>
    </row>
    <row r="36" spans="2:3" ht="12.75">
      <c r="B36" s="330"/>
      <c r="C36" s="330"/>
    </row>
    <row r="37" spans="1:3" ht="15">
      <c r="A37" s="329"/>
      <c r="B37" s="329"/>
      <c r="C37" s="330"/>
    </row>
    <row r="38" spans="1:3" ht="12.75">
      <c r="A38" s="330"/>
      <c r="B38" s="330"/>
      <c r="C38" s="330"/>
    </row>
    <row r="39" spans="1:3" ht="15">
      <c r="A39" s="330"/>
      <c r="B39" s="329"/>
      <c r="C39" s="330"/>
    </row>
    <row r="40" spans="1:3" ht="12.75">
      <c r="A40" s="330"/>
      <c r="B40" s="330"/>
      <c r="C40" s="330"/>
    </row>
    <row r="41" spans="1:3" ht="12.75">
      <c r="A41" s="330"/>
      <c r="B41" s="330"/>
      <c r="C41" s="330"/>
    </row>
    <row r="42" spans="1:3" ht="12.75">
      <c r="A42" s="330"/>
      <c r="B42" s="330"/>
      <c r="C42" s="330"/>
    </row>
    <row r="43" spans="1:2" ht="12.75">
      <c r="A43" s="330"/>
      <c r="B43" s="330"/>
    </row>
    <row r="44" spans="1:2" ht="12.75">
      <c r="A44" s="330"/>
      <c r="B44" s="330"/>
    </row>
    <row r="45" spans="1:2" ht="15">
      <c r="A45" s="330"/>
      <c r="B45" s="329"/>
    </row>
  </sheetData>
  <sheetProtection sheet="1"/>
  <mergeCells count="23">
    <mergeCell ref="A34:B34"/>
    <mergeCell ref="A24:B24"/>
    <mergeCell ref="A15:B15"/>
    <mergeCell ref="A16:B16"/>
    <mergeCell ref="A17:B17"/>
    <mergeCell ref="A18:B18"/>
    <mergeCell ref="A19:B19"/>
    <mergeCell ref="C23:D23"/>
    <mergeCell ref="A13:B13"/>
    <mergeCell ref="A14:B14"/>
    <mergeCell ref="A12:B12"/>
    <mergeCell ref="A10:B10"/>
    <mergeCell ref="A11:B11"/>
    <mergeCell ref="B1:C1"/>
    <mergeCell ref="C4:H4"/>
    <mergeCell ref="A9:B9"/>
    <mergeCell ref="C26:D26"/>
    <mergeCell ref="A26:B26"/>
    <mergeCell ref="C24:D24"/>
    <mergeCell ref="A20:B20"/>
    <mergeCell ref="A21:B21"/>
    <mergeCell ref="A7:B7"/>
    <mergeCell ref="A8:B8"/>
  </mergeCells>
  <dataValidations count="15">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$Z$22:$Z$32</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G16">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quot;s home page." sqref="C26:D26"/>
    <dataValidation type="custom" allowBlank="1" showInputMessage="1" showErrorMessage="1" promptTitle="Email Address" prompt="Please enter a valid email address" errorTitle="Email Address" error="Please enter a valid email address " sqref="G7">
      <formula1>ISNUMBER(MATCH("*@*",G7,0))</formula1>
    </dataValidation>
    <dataValidation type="custom" allowBlank="1" showInputMessage="1" showErrorMessage="1" promptTitle="Email Address" prompt="Please enter a valid email address " errorTitle="Email Address" error="Please enter a valid email address " sqref="G8: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97" r:id="rId2"/>
  <headerFooter>
    <oddFooter>&amp;L&amp;"Arial,Bold"Rev. 5/18&amp;C&amp;"Arial,Bold"FY 2019&amp;R&amp;"Arial,Bold"Charter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F9" sqref="F9"/>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411" t="str">
        <f>Cover!D1</f>
        <v>North Phoenix Preparatory Academy</v>
      </c>
      <c r="E1" s="411"/>
      <c r="F1" s="411"/>
      <c r="H1" s="68" t="s">
        <v>53</v>
      </c>
      <c r="I1" s="412" t="str">
        <f>Cover!M1</f>
        <v>Maricopa</v>
      </c>
      <c r="J1" s="412"/>
      <c r="L1" s="68" t="s">
        <v>89</v>
      </c>
      <c r="M1" s="413" t="str">
        <f>Cover!R1</f>
        <v>078584000</v>
      </c>
      <c r="N1" s="413"/>
    </row>
    <row r="2" spans="1:14" ht="3.75" customHeight="1">
      <c r="A2" s="120"/>
      <c r="B2" s="120"/>
      <c r="C2" s="120"/>
      <c r="D2" s="120"/>
      <c r="E2" s="120"/>
      <c r="F2" s="120"/>
      <c r="G2" s="120"/>
      <c r="H2" s="120"/>
      <c r="I2" s="120"/>
      <c r="J2" s="31"/>
      <c r="K2" s="31"/>
      <c r="L2" s="31"/>
      <c r="M2" s="31"/>
      <c r="N2" s="67"/>
    </row>
    <row r="3" spans="2:14" ht="12" customHeight="1">
      <c r="B3" s="248"/>
      <c r="F3" s="82"/>
      <c r="H3" s="82" t="s">
        <v>14</v>
      </c>
      <c r="I3" s="82"/>
      <c r="J3" s="82"/>
      <c r="K3" s="77" t="s">
        <v>61</v>
      </c>
      <c r="L3" s="78"/>
      <c r="M3" s="95"/>
      <c r="N3" s="121"/>
    </row>
    <row r="4" spans="1:14" ht="12" customHeight="1">
      <c r="A4" s="17" t="s">
        <v>12</v>
      </c>
      <c r="D4" s="414"/>
      <c r="F4" s="83"/>
      <c r="G4" s="260" t="s">
        <v>13</v>
      </c>
      <c r="H4" s="82" t="s">
        <v>17</v>
      </c>
      <c r="J4" s="83"/>
      <c r="K4" s="274" t="s">
        <v>248</v>
      </c>
      <c r="L4" s="82" t="s">
        <v>62</v>
      </c>
      <c r="M4" s="96" t="s">
        <v>63</v>
      </c>
      <c r="N4" s="121"/>
    </row>
    <row r="5" spans="4:14" ht="12" customHeight="1">
      <c r="D5" s="414"/>
      <c r="F5" s="82" t="s">
        <v>15</v>
      </c>
      <c r="G5" s="260" t="s">
        <v>16</v>
      </c>
      <c r="H5" s="82" t="s">
        <v>20</v>
      </c>
      <c r="I5" s="82" t="s">
        <v>18</v>
      </c>
      <c r="J5" s="82" t="s">
        <v>19</v>
      </c>
      <c r="K5" s="82" t="s">
        <v>54</v>
      </c>
      <c r="L5" s="82" t="s">
        <v>54</v>
      </c>
      <c r="M5" s="96" t="s">
        <v>64</v>
      </c>
      <c r="N5" s="121"/>
    </row>
    <row r="6" spans="1:14" ht="12" customHeight="1">
      <c r="A6" s="31" t="s">
        <v>11</v>
      </c>
      <c r="B6" s="31"/>
      <c r="C6" s="31"/>
      <c r="D6" s="31"/>
      <c r="E6" s="31"/>
      <c r="F6" s="85">
        <v>6100</v>
      </c>
      <c r="G6" s="85">
        <v>6200</v>
      </c>
      <c r="H6" s="85">
        <v>6500</v>
      </c>
      <c r="I6" s="85">
        <v>6600</v>
      </c>
      <c r="J6" s="85">
        <v>6800</v>
      </c>
      <c r="K6" s="82">
        <v>2018</v>
      </c>
      <c r="L6" s="96">
        <v>2019</v>
      </c>
      <c r="M6" s="96" t="s">
        <v>65</v>
      </c>
      <c r="N6" s="121"/>
    </row>
    <row r="7" spans="1:14" ht="12" customHeight="1">
      <c r="A7" s="17" t="s">
        <v>21</v>
      </c>
      <c r="F7" s="126"/>
      <c r="G7" s="126"/>
      <c r="H7" s="126"/>
      <c r="I7" s="126"/>
      <c r="J7" s="128"/>
      <c r="K7" s="1"/>
      <c r="L7" s="1"/>
      <c r="M7" s="75"/>
      <c r="N7" s="67"/>
    </row>
    <row r="8" spans="2:14" ht="12" customHeight="1">
      <c r="B8" s="17" t="s">
        <v>22</v>
      </c>
      <c r="E8" s="122">
        <v>1</v>
      </c>
      <c r="F8" s="104">
        <f>1597763-'Page 2'!E32-IIPClassSizeReduction-SP1000ClassSiteProj</f>
        <v>1231353</v>
      </c>
      <c r="G8" s="104">
        <v>426343</v>
      </c>
      <c r="H8" s="104">
        <v>10377</v>
      </c>
      <c r="I8" s="104">
        <v>112505</v>
      </c>
      <c r="J8" s="166"/>
      <c r="K8" s="168">
        <f>[1]!SP1000P100F1000</f>
        <v>1249612</v>
      </c>
      <c r="L8" s="169">
        <f>SUM(F8:J8)</f>
        <v>1780578</v>
      </c>
      <c r="M8" s="170">
        <f>IF(K8=0," ",(L8-K8)/K8)</f>
        <v>0.4249046904159051</v>
      </c>
      <c r="N8" s="2">
        <v>1</v>
      </c>
    </row>
    <row r="9" spans="2:14" ht="12" customHeight="1">
      <c r="B9" s="17" t="s">
        <v>23</v>
      </c>
      <c r="E9" s="122"/>
      <c r="F9" s="126"/>
      <c r="G9" s="126"/>
      <c r="H9" s="126"/>
      <c r="I9" s="126"/>
      <c r="J9" s="128"/>
      <c r="K9" s="75"/>
      <c r="L9" s="75"/>
      <c r="M9" s="75"/>
      <c r="N9" s="2"/>
    </row>
    <row r="10" spans="2:14" ht="12" customHeight="1">
      <c r="B10" s="17" t="s">
        <v>129</v>
      </c>
      <c r="E10" s="122">
        <v>2</v>
      </c>
      <c r="F10" s="104"/>
      <c r="G10" s="104"/>
      <c r="H10" s="104"/>
      <c r="I10" s="104"/>
      <c r="J10" s="166"/>
      <c r="K10" s="104">
        <f>[1]!SP1000P100F2100</f>
        <v>0</v>
      </c>
      <c r="L10" s="106">
        <f>SUM(F10:J10)</f>
        <v>0</v>
      </c>
      <c r="M10" s="165" t="str">
        <f>IF(K10=0," ",(L10-K10)/K10)</f>
        <v> </v>
      </c>
      <c r="N10" s="2">
        <v>2</v>
      </c>
    </row>
    <row r="11" spans="2:14" ht="12" customHeight="1">
      <c r="B11" s="17" t="s">
        <v>147</v>
      </c>
      <c r="E11" s="122">
        <v>3</v>
      </c>
      <c r="F11" s="25"/>
      <c r="G11" s="25"/>
      <c r="H11" s="25"/>
      <c r="I11" s="25"/>
      <c r="J11" s="25"/>
      <c r="K11" s="25">
        <f>[1]!SP1000P100F2200</f>
        <v>0</v>
      </c>
      <c r="L11" s="6">
        <f aca="true" t="shared" si="0" ref="L11:L23">SUM(F11:J11)</f>
        <v>0</v>
      </c>
      <c r="M11" s="12" t="str">
        <f aca="true" t="shared" si="1" ref="M11:M23">IF(K11=0," ",(L11-K11)/K11)</f>
        <v> </v>
      </c>
      <c r="N11" s="89">
        <v>3</v>
      </c>
    </row>
    <row r="12" spans="2:14" ht="12" customHeight="1">
      <c r="B12" s="17" t="s">
        <v>24</v>
      </c>
      <c r="E12" s="122">
        <v>4</v>
      </c>
      <c r="F12" s="25"/>
      <c r="G12" s="25"/>
      <c r="H12" s="25"/>
      <c r="I12" s="25"/>
      <c r="J12" s="25"/>
      <c r="K12" s="26">
        <f>[1]!SP1000P100F2300</f>
        <v>0</v>
      </c>
      <c r="L12" s="6">
        <f t="shared" si="0"/>
        <v>0</v>
      </c>
      <c r="M12" s="12" t="str">
        <f t="shared" si="1"/>
        <v> </v>
      </c>
      <c r="N12" s="89">
        <v>4</v>
      </c>
    </row>
    <row r="13" spans="2:14" ht="12" customHeight="1">
      <c r="B13" s="17" t="s">
        <v>25</v>
      </c>
      <c r="E13" s="122">
        <v>5</v>
      </c>
      <c r="F13" s="25">
        <v>376431</v>
      </c>
      <c r="G13" s="25">
        <v>93050</v>
      </c>
      <c r="H13" s="25">
        <f>1500+31922</f>
        <v>33422</v>
      </c>
      <c r="I13" s="25">
        <v>12542</v>
      </c>
      <c r="J13" s="25">
        <v>17640</v>
      </c>
      <c r="K13" s="26">
        <f>[1]!SP1000P100F2400</f>
        <v>464320</v>
      </c>
      <c r="L13" s="6">
        <f t="shared" si="0"/>
        <v>533085</v>
      </c>
      <c r="M13" s="12">
        <f t="shared" si="1"/>
        <v>0.14809829427980703</v>
      </c>
      <c r="N13" s="89">
        <v>5</v>
      </c>
    </row>
    <row r="14" spans="2:14" ht="12" customHeight="1">
      <c r="B14" s="17" t="s">
        <v>148</v>
      </c>
      <c r="E14" s="122">
        <v>6</v>
      </c>
      <c r="F14" s="25"/>
      <c r="G14" s="25"/>
      <c r="H14" s="25">
        <v>370162</v>
      </c>
      <c r="I14" s="25"/>
      <c r="J14" s="25"/>
      <c r="K14" s="26">
        <f>[1]!SP1000P100F2500</f>
        <v>266521</v>
      </c>
      <c r="L14" s="6">
        <f>SUM(F14:J14)</f>
        <v>370162</v>
      </c>
      <c r="M14" s="12">
        <f t="shared" si="1"/>
        <v>0.3888661681443489</v>
      </c>
      <c r="N14" s="89">
        <v>6</v>
      </c>
    </row>
    <row r="15" spans="2:14" ht="12" customHeight="1">
      <c r="B15" s="17" t="s">
        <v>149</v>
      </c>
      <c r="E15" s="122">
        <v>7</v>
      </c>
      <c r="F15" s="25"/>
      <c r="G15" s="25"/>
      <c r="H15" s="25">
        <f>643330-I15-IIPInstructionalImprovementPrograms</f>
        <v>611926</v>
      </c>
      <c r="I15" s="25">
        <v>20800</v>
      </c>
      <c r="J15" s="25"/>
      <c r="K15" s="26">
        <f>[1]!SP1000P100F2600</f>
        <v>553331</v>
      </c>
      <c r="L15" s="6">
        <f t="shared" si="0"/>
        <v>632726</v>
      </c>
      <c r="M15" s="12">
        <f t="shared" si="1"/>
        <v>0.1434855448185625</v>
      </c>
      <c r="N15" s="89">
        <v>7</v>
      </c>
    </row>
    <row r="16" spans="2:14" ht="12" customHeight="1">
      <c r="B16" s="17" t="s">
        <v>75</v>
      </c>
      <c r="E16" s="122">
        <v>8</v>
      </c>
      <c r="F16" s="25">
        <v>17118</v>
      </c>
      <c r="G16" s="25">
        <v>6699</v>
      </c>
      <c r="H16" s="25">
        <f>33688+27404</f>
        <v>61092</v>
      </c>
      <c r="I16" s="25">
        <v>34970</v>
      </c>
      <c r="J16" s="25"/>
      <c r="K16" s="26">
        <f>[1]!SP1000P100F2900</f>
        <v>124029</v>
      </c>
      <c r="L16" s="6">
        <f t="shared" si="0"/>
        <v>119879</v>
      </c>
      <c r="M16" s="12">
        <f t="shared" si="1"/>
        <v>-0.033459916632400485</v>
      </c>
      <c r="N16" s="89">
        <v>8</v>
      </c>
    </row>
    <row r="17" spans="2:14" ht="12" customHeight="1">
      <c r="B17" s="17" t="s">
        <v>26</v>
      </c>
      <c r="E17" s="122">
        <v>9</v>
      </c>
      <c r="F17" s="25"/>
      <c r="G17" s="25"/>
      <c r="H17" s="25"/>
      <c r="I17" s="25"/>
      <c r="J17" s="25"/>
      <c r="K17" s="26">
        <f>[1]!SP1000P100F3000</f>
        <v>0</v>
      </c>
      <c r="L17" s="6">
        <f t="shared" si="0"/>
        <v>0</v>
      </c>
      <c r="M17" s="12" t="str">
        <f t="shared" si="1"/>
        <v> </v>
      </c>
      <c r="N17" s="89">
        <v>9</v>
      </c>
    </row>
    <row r="18" spans="2:14" ht="12" customHeight="1">
      <c r="B18" s="17" t="s">
        <v>150</v>
      </c>
      <c r="E18" s="3">
        <v>10</v>
      </c>
      <c r="F18" s="25"/>
      <c r="G18" s="25"/>
      <c r="H18" s="25"/>
      <c r="I18" s="25"/>
      <c r="J18" s="25"/>
      <c r="K18" s="26">
        <f>[1]!SP1000P100F4000</f>
        <v>0</v>
      </c>
      <c r="L18" s="6">
        <f t="shared" si="0"/>
        <v>0</v>
      </c>
      <c r="M18" s="12" t="str">
        <f t="shared" si="1"/>
        <v> </v>
      </c>
      <c r="N18" s="89">
        <v>10</v>
      </c>
    </row>
    <row r="19" spans="1:14" ht="12" customHeight="1">
      <c r="A19" s="14"/>
      <c r="B19" s="14" t="s">
        <v>27</v>
      </c>
      <c r="C19" s="14"/>
      <c r="D19" s="14"/>
      <c r="E19" s="21">
        <v>11</v>
      </c>
      <c r="F19" s="123"/>
      <c r="G19" s="25"/>
      <c r="H19" s="25"/>
      <c r="I19" s="25"/>
      <c r="J19" s="25"/>
      <c r="K19" s="26">
        <f>[1]!SP1000P100F5000</f>
        <v>0</v>
      </c>
      <c r="L19" s="6">
        <f t="shared" si="0"/>
        <v>0</v>
      </c>
      <c r="M19" s="12" t="str">
        <f t="shared" si="1"/>
        <v> </v>
      </c>
      <c r="N19" s="89">
        <v>11</v>
      </c>
    </row>
    <row r="20" spans="1:14" ht="12" customHeight="1">
      <c r="A20" s="14" t="s">
        <v>76</v>
      </c>
      <c r="B20" s="14"/>
      <c r="C20" s="14"/>
      <c r="D20" s="14"/>
      <c r="E20" s="21">
        <v>12</v>
      </c>
      <c r="F20" s="123">
        <v>12000</v>
      </c>
      <c r="G20" s="25">
        <v>918</v>
      </c>
      <c r="H20" s="25"/>
      <c r="I20" s="25">
        <v>3000</v>
      </c>
      <c r="J20" s="25"/>
      <c r="K20" s="25">
        <f>[1]!SP1000P610</f>
        <v>15918</v>
      </c>
      <c r="L20" s="6">
        <f t="shared" si="0"/>
        <v>15918</v>
      </c>
      <c r="M20" s="12">
        <f t="shared" si="1"/>
        <v>0</v>
      </c>
      <c r="N20" s="89">
        <v>12</v>
      </c>
    </row>
    <row r="21" spans="1:14" ht="12" customHeight="1">
      <c r="A21" s="14" t="s">
        <v>78</v>
      </c>
      <c r="B21" s="14"/>
      <c r="C21" s="14"/>
      <c r="D21" s="14"/>
      <c r="E21" s="21">
        <v>13</v>
      </c>
      <c r="F21" s="123">
        <v>102568</v>
      </c>
      <c r="G21" s="25">
        <v>17816</v>
      </c>
      <c r="H21" s="25"/>
      <c r="I21" s="25">
        <v>62851</v>
      </c>
      <c r="J21" s="25"/>
      <c r="K21" s="25">
        <f>[1]!SP1000P620</f>
        <v>168509</v>
      </c>
      <c r="L21" s="6">
        <f>SUM(F21:J21)</f>
        <v>183235</v>
      </c>
      <c r="M21" s="12">
        <f t="shared" si="1"/>
        <v>0.08738999103905429</v>
      </c>
      <c r="N21" s="89">
        <v>13</v>
      </c>
    </row>
    <row r="22" spans="1:14" ht="12" customHeight="1">
      <c r="A22" s="14" t="s">
        <v>77</v>
      </c>
      <c r="B22" s="14"/>
      <c r="C22" s="14"/>
      <c r="D22" s="14"/>
      <c r="E22" s="21">
        <v>14</v>
      </c>
      <c r="F22" s="123"/>
      <c r="G22" s="25"/>
      <c r="H22" s="25"/>
      <c r="I22" s="25"/>
      <c r="J22" s="25"/>
      <c r="K22" s="25">
        <f>[1]!SP1000P630700800900</f>
        <v>0</v>
      </c>
      <c r="L22" s="6">
        <f t="shared" si="0"/>
        <v>0</v>
      </c>
      <c r="M22" s="12" t="str">
        <f t="shared" si="1"/>
        <v> </v>
      </c>
      <c r="N22" s="89">
        <v>14</v>
      </c>
    </row>
    <row r="23" spans="1:14" ht="12" customHeight="1">
      <c r="A23" s="31"/>
      <c r="B23" s="31" t="s">
        <v>142</v>
      </c>
      <c r="C23" s="31"/>
      <c r="D23" s="31"/>
      <c r="E23" s="23">
        <v>15</v>
      </c>
      <c r="F23" s="6">
        <f>SUM(F7:F22)</f>
        <v>1739470</v>
      </c>
      <c r="G23" s="6">
        <f>SUM(G7:G22)</f>
        <v>544826</v>
      </c>
      <c r="H23" s="6">
        <f>SUM(H7:H22)</f>
        <v>1086979</v>
      </c>
      <c r="I23" s="6">
        <f>SUM(I7:I22)</f>
        <v>246668</v>
      </c>
      <c r="J23" s="6">
        <f>SUM(J7:J22)</f>
        <v>17640</v>
      </c>
      <c r="K23" s="162">
        <f>SUM(K8:K22)</f>
        <v>2842240</v>
      </c>
      <c r="L23" s="162">
        <f t="shared" si="0"/>
        <v>3635583</v>
      </c>
      <c r="M23" s="12">
        <f t="shared" si="1"/>
        <v>0.2791259710650754</v>
      </c>
      <c r="N23" s="89">
        <v>15</v>
      </c>
    </row>
    <row r="24" spans="1:14" ht="12" customHeight="1">
      <c r="A24" s="298" t="s">
        <v>28</v>
      </c>
      <c r="B24" s="252"/>
      <c r="C24" s="252"/>
      <c r="D24" s="253"/>
      <c r="E24" s="122"/>
      <c r="F24" s="126"/>
      <c r="G24" s="126"/>
      <c r="H24" s="126"/>
      <c r="I24" s="126"/>
      <c r="J24" s="128"/>
      <c r="K24" s="75"/>
      <c r="L24" s="75"/>
      <c r="M24" s="75"/>
      <c r="N24" s="89"/>
    </row>
    <row r="25" spans="2:14" ht="12" customHeight="1">
      <c r="B25" s="17" t="s">
        <v>22</v>
      </c>
      <c r="D25" s="14"/>
      <c r="E25" s="122">
        <v>16</v>
      </c>
      <c r="F25" s="104">
        <f>122227-FP1220IDEA</f>
        <v>83289</v>
      </c>
      <c r="G25" s="104">
        <v>33561</v>
      </c>
      <c r="H25" s="104">
        <v>24400</v>
      </c>
      <c r="I25" s="104">
        <v>3220</v>
      </c>
      <c r="J25" s="166"/>
      <c r="K25" s="104">
        <f>[1]!SP1000P200F1000</f>
        <v>89317</v>
      </c>
      <c r="L25" s="106">
        <f>SUM(F25:J25)</f>
        <v>144470</v>
      </c>
      <c r="M25" s="234">
        <f>IF(K25=0," ",(L25-K25)/K25)</f>
        <v>0.6174972289709686</v>
      </c>
      <c r="N25" s="89">
        <v>16</v>
      </c>
    </row>
    <row r="26" spans="2:14" ht="12" customHeight="1">
      <c r="B26" s="17" t="s">
        <v>23</v>
      </c>
      <c r="E26" s="122"/>
      <c r="F26" s="126"/>
      <c r="G26" s="126"/>
      <c r="H26" s="126"/>
      <c r="I26" s="126"/>
      <c r="J26" s="128"/>
      <c r="K26" s="75"/>
      <c r="L26" s="75"/>
      <c r="M26" s="75"/>
      <c r="N26" s="89"/>
    </row>
    <row r="27" spans="2:14" ht="12" customHeight="1">
      <c r="B27" s="17" t="s">
        <v>129</v>
      </c>
      <c r="E27" s="21">
        <v>17</v>
      </c>
      <c r="F27" s="104"/>
      <c r="G27" s="104"/>
      <c r="H27" s="104"/>
      <c r="I27" s="104"/>
      <c r="J27" s="166"/>
      <c r="K27" s="104">
        <f>[1]!SP1000P200F2100</f>
        <v>0</v>
      </c>
      <c r="L27" s="106">
        <f>SUM(F27:J27)</f>
        <v>0</v>
      </c>
      <c r="M27" s="234" t="str">
        <f>IF(K27=0," ",(L27-K27)/K27)</f>
        <v> </v>
      </c>
      <c r="N27" s="89">
        <v>17</v>
      </c>
    </row>
    <row r="28" spans="2:14" ht="12" customHeight="1">
      <c r="B28" s="17" t="s">
        <v>147</v>
      </c>
      <c r="E28" s="21">
        <v>18</v>
      </c>
      <c r="F28" s="25"/>
      <c r="G28" s="25"/>
      <c r="H28" s="25"/>
      <c r="I28" s="25"/>
      <c r="J28" s="25"/>
      <c r="K28" s="25">
        <f>[1]!SP1000P200F2200</f>
        <v>0</v>
      </c>
      <c r="L28" s="6">
        <f aca="true" t="shared" si="2" ref="L28:L42">SUM(F28:J28)</f>
        <v>0</v>
      </c>
      <c r="M28" s="129" t="str">
        <f aca="true" t="shared" si="3" ref="M28:M48">IF(K28=0," ",(L28-K28)/K28)</f>
        <v> </v>
      </c>
      <c r="N28" s="89">
        <v>18</v>
      </c>
    </row>
    <row r="29" spans="2:14" ht="12" customHeight="1">
      <c r="B29" s="17" t="s">
        <v>24</v>
      </c>
      <c r="E29" s="21">
        <v>19</v>
      </c>
      <c r="F29" s="25"/>
      <c r="G29" s="25"/>
      <c r="H29" s="25"/>
      <c r="I29" s="25"/>
      <c r="J29" s="25"/>
      <c r="K29" s="26">
        <f>[1]!SP1000P200F2300</f>
        <v>0</v>
      </c>
      <c r="L29" s="6">
        <f t="shared" si="2"/>
        <v>0</v>
      </c>
      <c r="M29" s="12" t="str">
        <f t="shared" si="3"/>
        <v> </v>
      </c>
      <c r="N29" s="89">
        <v>19</v>
      </c>
    </row>
    <row r="30" spans="2:14" ht="12" customHeight="1">
      <c r="B30" s="17" t="s">
        <v>25</v>
      </c>
      <c r="E30" s="21">
        <v>20</v>
      </c>
      <c r="F30" s="25"/>
      <c r="G30" s="25"/>
      <c r="H30" s="25"/>
      <c r="I30" s="25"/>
      <c r="J30" s="25"/>
      <c r="K30" s="26">
        <f>[1]!SP1000P200F2400</f>
        <v>0</v>
      </c>
      <c r="L30" s="6">
        <f t="shared" si="2"/>
        <v>0</v>
      </c>
      <c r="M30" s="12" t="str">
        <f t="shared" si="3"/>
        <v> </v>
      </c>
      <c r="N30" s="89">
        <v>20</v>
      </c>
    </row>
    <row r="31" spans="2:14" ht="12" customHeight="1">
      <c r="B31" s="17" t="s">
        <v>148</v>
      </c>
      <c r="E31" s="21">
        <v>21</v>
      </c>
      <c r="F31" s="25"/>
      <c r="G31" s="25"/>
      <c r="H31" s="25"/>
      <c r="I31" s="25"/>
      <c r="J31" s="25"/>
      <c r="K31" s="26">
        <f>[1]!SP1000P200F2500</f>
        <v>0</v>
      </c>
      <c r="L31" s="6">
        <f>SUM(F31:J31)</f>
        <v>0</v>
      </c>
      <c r="M31" s="12" t="str">
        <f t="shared" si="3"/>
        <v> </v>
      </c>
      <c r="N31" s="89">
        <v>21</v>
      </c>
    </row>
    <row r="32" spans="2:14" ht="12" customHeight="1">
      <c r="B32" s="17" t="s">
        <v>149</v>
      </c>
      <c r="E32" s="21">
        <v>22</v>
      </c>
      <c r="F32" s="25"/>
      <c r="G32" s="25"/>
      <c r="H32" s="25"/>
      <c r="I32" s="25"/>
      <c r="J32" s="25"/>
      <c r="K32" s="26">
        <f>[1]!SP1000P200F2600</f>
        <v>0</v>
      </c>
      <c r="L32" s="6">
        <f t="shared" si="2"/>
        <v>0</v>
      </c>
      <c r="M32" s="12" t="str">
        <f t="shared" si="3"/>
        <v> </v>
      </c>
      <c r="N32" s="89">
        <v>22</v>
      </c>
    </row>
    <row r="33" spans="2:14" ht="12" customHeight="1">
      <c r="B33" s="17" t="s">
        <v>75</v>
      </c>
      <c r="E33" s="21">
        <v>23</v>
      </c>
      <c r="F33" s="25"/>
      <c r="G33" s="25"/>
      <c r="H33" s="25"/>
      <c r="I33" s="25"/>
      <c r="J33" s="25"/>
      <c r="K33" s="26">
        <f>[1]!SP1000P200F2900</f>
        <v>0</v>
      </c>
      <c r="L33" s="6">
        <f t="shared" si="2"/>
        <v>0</v>
      </c>
      <c r="M33" s="12" t="str">
        <f t="shared" si="3"/>
        <v> </v>
      </c>
      <c r="N33" s="89">
        <v>23</v>
      </c>
    </row>
    <row r="34" spans="2:18" ht="12" customHeight="1">
      <c r="B34" s="17" t="s">
        <v>26</v>
      </c>
      <c r="E34" s="21">
        <v>24</v>
      </c>
      <c r="F34" s="25"/>
      <c r="G34" s="25"/>
      <c r="H34" s="25"/>
      <c r="I34" s="25"/>
      <c r="J34" s="25"/>
      <c r="K34" s="26">
        <f>[1]!SP1000P200F3000</f>
        <v>0</v>
      </c>
      <c r="L34" s="6">
        <f t="shared" si="2"/>
        <v>0</v>
      </c>
      <c r="M34" s="12" t="str">
        <f t="shared" si="3"/>
        <v> </v>
      </c>
      <c r="N34" s="89">
        <v>24</v>
      </c>
      <c r="R34" s="248"/>
    </row>
    <row r="35" spans="2:14" ht="12" customHeight="1">
      <c r="B35" s="17" t="s">
        <v>150</v>
      </c>
      <c r="E35" s="21">
        <v>25</v>
      </c>
      <c r="F35" s="25"/>
      <c r="G35" s="25"/>
      <c r="H35" s="25"/>
      <c r="I35" s="25"/>
      <c r="J35" s="25"/>
      <c r="K35" s="26">
        <f>[1]!SP1000P200F4000</f>
        <v>0</v>
      </c>
      <c r="L35" s="6">
        <f t="shared" si="2"/>
        <v>0</v>
      </c>
      <c r="M35" s="12" t="str">
        <f t="shared" si="3"/>
        <v> </v>
      </c>
      <c r="N35" s="89">
        <v>25</v>
      </c>
    </row>
    <row r="36" spans="1:14" ht="12" customHeight="1">
      <c r="A36" s="14"/>
      <c r="B36" s="14" t="s">
        <v>27</v>
      </c>
      <c r="C36" s="14"/>
      <c r="D36" s="14"/>
      <c r="E36" s="3">
        <v>26</v>
      </c>
      <c r="F36" s="25"/>
      <c r="G36" s="25"/>
      <c r="H36" s="25"/>
      <c r="I36" s="25"/>
      <c r="J36" s="25"/>
      <c r="K36" s="26">
        <f>[1]!SP1000P200F5000</f>
        <v>0</v>
      </c>
      <c r="L36" s="6">
        <f t="shared" si="2"/>
        <v>0</v>
      </c>
      <c r="M36" s="12" t="str">
        <f t="shared" si="3"/>
        <v> </v>
      </c>
      <c r="N36" s="89">
        <v>26</v>
      </c>
    </row>
    <row r="37" spans="1:14" ht="12" customHeight="1">
      <c r="A37" s="31"/>
      <c r="B37" s="31" t="s">
        <v>86</v>
      </c>
      <c r="C37" s="31"/>
      <c r="D37" s="31"/>
      <c r="E37" s="23">
        <v>27</v>
      </c>
      <c r="F37" s="20">
        <f>SUM(F24:F36)</f>
        <v>83289</v>
      </c>
      <c r="G37" s="20">
        <f>SUM(G24:G36)</f>
        <v>33561</v>
      </c>
      <c r="H37" s="20">
        <f>SUM(H24:H36)</f>
        <v>24400</v>
      </c>
      <c r="I37" s="20">
        <f>SUM(I24:I36)</f>
        <v>3220</v>
      </c>
      <c r="J37" s="20">
        <f>SUM(J24:J36)</f>
        <v>0</v>
      </c>
      <c r="K37" s="20">
        <f>SUM(K25:K36)</f>
        <v>89317</v>
      </c>
      <c r="L37" s="20">
        <f t="shared" si="2"/>
        <v>144470</v>
      </c>
      <c r="M37" s="129">
        <f t="shared" si="3"/>
        <v>0.6174972289709686</v>
      </c>
      <c r="N37" s="89">
        <v>27</v>
      </c>
    </row>
    <row r="38" spans="1:14" s="14" customFormat="1" ht="0.75" customHeight="1">
      <c r="A38" t="s">
        <v>151</v>
      </c>
      <c r="B38"/>
      <c r="C38"/>
      <c r="D38"/>
      <c r="E38" s="3">
        <v>28</v>
      </c>
      <c r="F38" s="7"/>
      <c r="G38" s="7"/>
      <c r="H38" s="7"/>
      <c r="I38" s="7"/>
      <c r="J38" s="7"/>
      <c r="K38" s="7"/>
      <c r="L38" s="7"/>
      <c r="M38" s="297"/>
      <c r="N38" s="2">
        <v>28</v>
      </c>
    </row>
    <row r="39" spans="1:14" s="14" customFormat="1" ht="12" customHeight="1">
      <c r="A39" s="31" t="s">
        <v>29</v>
      </c>
      <c r="B39" s="31"/>
      <c r="C39" s="31"/>
      <c r="D39" s="31"/>
      <c r="E39" s="23">
        <v>28</v>
      </c>
      <c r="F39" s="25"/>
      <c r="G39" s="25"/>
      <c r="H39" s="25"/>
      <c r="I39" s="25"/>
      <c r="J39" s="25"/>
      <c r="K39" s="25">
        <f>[1]!SP1000P400</f>
        <v>0</v>
      </c>
      <c r="L39" s="6">
        <f t="shared" si="2"/>
        <v>0</v>
      </c>
      <c r="M39" s="12" t="str">
        <f t="shared" si="3"/>
        <v> </v>
      </c>
      <c r="N39" s="89">
        <v>28</v>
      </c>
    </row>
    <row r="40" spans="1:14" ht="12" customHeight="1">
      <c r="A40" s="31" t="s">
        <v>30</v>
      </c>
      <c r="B40" s="31"/>
      <c r="C40" s="31"/>
      <c r="D40" s="31"/>
      <c r="E40" s="5">
        <v>29</v>
      </c>
      <c r="F40" s="25"/>
      <c r="G40" s="25"/>
      <c r="H40" s="25"/>
      <c r="I40" s="25"/>
      <c r="J40" s="25"/>
      <c r="K40" s="26">
        <f>[1]!SP1000P530</f>
        <v>0</v>
      </c>
      <c r="L40" s="6">
        <f>SUM(F40:J40)</f>
        <v>0</v>
      </c>
      <c r="M40" s="12" t="str">
        <f t="shared" si="3"/>
        <v> </v>
      </c>
      <c r="N40" s="89">
        <v>29</v>
      </c>
    </row>
    <row r="41" spans="1:14" ht="12" customHeight="1">
      <c r="A41" s="31" t="s">
        <v>152</v>
      </c>
      <c r="B41" s="31"/>
      <c r="C41" s="31"/>
      <c r="D41" s="31"/>
      <c r="E41" s="5">
        <v>30</v>
      </c>
      <c r="F41" s="25"/>
      <c r="G41" s="25"/>
      <c r="H41" s="25"/>
      <c r="I41" s="25"/>
      <c r="J41" s="25"/>
      <c r="K41" s="26">
        <f>[1]!SP1000P540</f>
        <v>0</v>
      </c>
      <c r="L41" s="6">
        <f t="shared" si="2"/>
        <v>0</v>
      </c>
      <c r="M41" s="12" t="str">
        <f t="shared" si="3"/>
        <v> </v>
      </c>
      <c r="N41" s="89">
        <v>30</v>
      </c>
    </row>
    <row r="42" spans="1:14" ht="12" customHeight="1">
      <c r="A42" s="261" t="s">
        <v>216</v>
      </c>
      <c r="B42" s="256"/>
      <c r="C42" s="256"/>
      <c r="D42" s="256"/>
      <c r="E42" s="5">
        <v>31</v>
      </c>
      <c r="F42" s="25"/>
      <c r="G42" s="25"/>
      <c r="H42" s="25"/>
      <c r="I42" s="25"/>
      <c r="J42" s="25"/>
      <c r="K42" s="26">
        <f>[1]!SP1000P550</f>
        <v>0</v>
      </c>
      <c r="L42" s="6">
        <f t="shared" si="2"/>
        <v>0</v>
      </c>
      <c r="M42" s="12" t="str">
        <f t="shared" si="3"/>
        <v> </v>
      </c>
      <c r="N42" s="89">
        <v>31</v>
      </c>
    </row>
    <row r="43" spans="1:14" ht="12" customHeight="1">
      <c r="A43" s="31"/>
      <c r="B43" s="135" t="s">
        <v>272</v>
      </c>
      <c r="C43" s="31"/>
      <c r="D43" s="31"/>
      <c r="E43" s="5">
        <v>32</v>
      </c>
      <c r="F43" s="6">
        <f aca="true" t="shared" si="4" ref="F43:K43">SUM(F37:F42)+F23</f>
        <v>1822759</v>
      </c>
      <c r="G43" s="6">
        <f t="shared" si="4"/>
        <v>578387</v>
      </c>
      <c r="H43" s="6">
        <f t="shared" si="4"/>
        <v>1111379</v>
      </c>
      <c r="I43" s="6">
        <f t="shared" si="4"/>
        <v>249888</v>
      </c>
      <c r="J43" s="6">
        <f t="shared" si="4"/>
        <v>17640</v>
      </c>
      <c r="K43" s="6">
        <f t="shared" si="4"/>
        <v>2931557</v>
      </c>
      <c r="L43" s="6">
        <f>SUM(F43:J43)</f>
        <v>3780053</v>
      </c>
      <c r="M43" s="12">
        <f t="shared" si="3"/>
        <v>0.2894352727918986</v>
      </c>
      <c r="N43" s="89">
        <v>32</v>
      </c>
    </row>
    <row r="44" spans="1:14" ht="12" customHeight="1">
      <c r="A44" s="135" t="s">
        <v>263</v>
      </c>
      <c r="B44" s="31"/>
      <c r="C44" s="31"/>
      <c r="D44" s="31"/>
      <c r="E44" s="5">
        <v>33</v>
      </c>
      <c r="F44" s="6">
        <f>TotalCSP6100</f>
        <v>247356</v>
      </c>
      <c r="G44" s="6">
        <f>TotalCSP6200</f>
        <v>0</v>
      </c>
      <c r="H44" s="6">
        <f>TotalCSP630064006500</f>
        <v>0</v>
      </c>
      <c r="I44" s="6">
        <f>TotalCSP6600</f>
        <v>0</v>
      </c>
      <c r="J44" s="125"/>
      <c r="K44" s="25">
        <f>[1]!SP1000ClassSiteProj</f>
        <v>173880</v>
      </c>
      <c r="L44" s="6">
        <f>SUM(F44:J44)</f>
        <v>247356</v>
      </c>
      <c r="M44" s="12">
        <f t="shared" si="3"/>
        <v>0.4225672877846791</v>
      </c>
      <c r="N44" s="89">
        <v>33</v>
      </c>
    </row>
    <row r="45" spans="1:14" ht="12" customHeight="1">
      <c r="A45" s="135" t="s">
        <v>264</v>
      </c>
      <c r="B45" s="31"/>
      <c r="C45" s="31"/>
      <c r="D45" s="31"/>
      <c r="E45" s="5">
        <v>34</v>
      </c>
      <c r="F45" s="125"/>
      <c r="G45" s="125"/>
      <c r="H45" s="125"/>
      <c r="I45" s="125"/>
      <c r="J45" s="125"/>
      <c r="K45" s="25">
        <f>[1]!SP1000InstrImpProj</f>
        <v>16368</v>
      </c>
      <c r="L45" s="6">
        <f>TotalInstructionalImprovement</f>
        <v>21208</v>
      </c>
      <c r="M45" s="12">
        <f t="shared" si="3"/>
        <v>0.2956989247311828</v>
      </c>
      <c r="N45" s="89">
        <v>34</v>
      </c>
    </row>
    <row r="46" spans="1:14" ht="12" customHeight="1">
      <c r="A46" s="135" t="s">
        <v>265</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89">
        <v>35</v>
      </c>
    </row>
    <row r="47" spans="1:14" ht="12" customHeight="1">
      <c r="A47" s="135" t="s">
        <v>266</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89">
        <v>36</v>
      </c>
    </row>
    <row r="48" spans="1:14" ht="12" customHeight="1">
      <c r="A48" s="261" t="s">
        <v>289</v>
      </c>
      <c r="B48" s="256"/>
      <c r="C48" s="256"/>
      <c r="D48" s="256"/>
      <c r="E48" s="266">
        <v>37</v>
      </c>
      <c r="F48" s="125"/>
      <c r="G48" s="125"/>
      <c r="H48" s="125"/>
      <c r="I48" s="125"/>
      <c r="J48" s="125"/>
      <c r="K48" s="26">
        <f>[1]!SP1000FedStProj</f>
        <v>123815</v>
      </c>
      <c r="L48" s="6">
        <f>FederalandStateProjectsTotal</f>
        <v>147388</v>
      </c>
      <c r="M48" s="12">
        <f t="shared" si="3"/>
        <v>0.19038888664539838</v>
      </c>
      <c r="N48" s="89">
        <v>37</v>
      </c>
    </row>
    <row r="49" spans="1:14" ht="12" customHeight="1">
      <c r="A49" s="94"/>
      <c r="B49" s="135" t="s">
        <v>279</v>
      </c>
      <c r="C49" s="31"/>
      <c r="D49" s="31"/>
      <c r="E49" s="5">
        <v>38</v>
      </c>
      <c r="F49" s="13">
        <f>SUM(F43+F44+F46+F47)</f>
        <v>2070115</v>
      </c>
      <c r="G49" s="13">
        <f>SUM(G43+G44+G46+G47)</f>
        <v>578387</v>
      </c>
      <c r="H49" s="13">
        <f>SUM(H43+H44+H46+H47)</f>
        <v>1111379</v>
      </c>
      <c r="I49" s="13">
        <f>SUM(I43+I44+I46+I47)</f>
        <v>249888</v>
      </c>
      <c r="J49" s="13">
        <f>SUM(J43+J46+J47)</f>
        <v>17640</v>
      </c>
      <c r="K49" s="10">
        <f>SUM(K43:K48)</f>
        <v>3245620</v>
      </c>
      <c r="L49" s="10">
        <f>SUM(L43:L48)</f>
        <v>4196005</v>
      </c>
      <c r="M49" s="12">
        <f>IF(K49=0," ",(L49-K49)/K49)</f>
        <v>0.2928207861672038</v>
      </c>
      <c r="N49" s="89">
        <v>38</v>
      </c>
    </row>
    <row r="52" ht="12.75" customHeight="1">
      <c r="F52" s="248"/>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5/18&amp;C&amp;"Arial,Bold"FY 2019&amp;R&amp;"Arial,Bold"Page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E5" sqref="E5"/>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1" t="s">
        <v>0</v>
      </c>
      <c r="C1" s="416" t="str">
        <f>Cover!D1</f>
        <v>North Phoenix Preparatory Academy</v>
      </c>
      <c r="D1" s="417"/>
      <c r="E1" s="417"/>
      <c r="F1" s="417"/>
      <c r="H1" s="112" t="s">
        <v>1</v>
      </c>
      <c r="I1" s="418" t="str">
        <f>Cover!M1</f>
        <v>Maricopa</v>
      </c>
      <c r="J1" s="419"/>
      <c r="K1" s="419"/>
      <c r="M1" s="48" t="s">
        <v>89</v>
      </c>
      <c r="N1" s="258" t="str">
        <f>Cover!R1</f>
        <v>078584000</v>
      </c>
      <c r="P1" s="111"/>
      <c r="Q1" s="111"/>
      <c r="R1" s="111"/>
      <c r="S1" s="111"/>
      <c r="T1" s="111"/>
      <c r="U1" s="111"/>
      <c r="V1" s="111"/>
      <c r="W1" s="111"/>
      <c r="X1" s="111"/>
    </row>
    <row r="2" spans="1:24" ht="7.5" customHeight="1">
      <c r="A2" s="113"/>
      <c r="B2" s="36"/>
      <c r="C2" s="36"/>
      <c r="D2" s="60"/>
      <c r="E2" s="60"/>
      <c r="H2" s="245"/>
      <c r="I2" s="244"/>
      <c r="J2" s="244"/>
      <c r="K2" s="244"/>
      <c r="L2" s="244"/>
      <c r="M2" s="244"/>
      <c r="N2" s="244"/>
      <c r="O2" s="35"/>
      <c r="P2" s="111"/>
      <c r="Q2" s="111"/>
      <c r="R2" s="111"/>
      <c r="S2" s="111"/>
      <c r="T2" s="111"/>
      <c r="U2" s="111"/>
      <c r="V2" s="111"/>
      <c r="W2" s="111"/>
      <c r="X2" s="111"/>
    </row>
    <row r="3" spans="1:24" ht="12" customHeight="1">
      <c r="A3" s="378" t="s">
        <v>73</v>
      </c>
      <c r="B3" s="378"/>
      <c r="C3" s="378"/>
      <c r="D3" s="271"/>
      <c r="E3" s="271"/>
      <c r="H3" s="262" t="s">
        <v>56</v>
      </c>
      <c r="I3" s="255"/>
      <c r="J3" s="255"/>
      <c r="K3" s="255"/>
      <c r="L3" s="255"/>
      <c r="M3" s="255"/>
      <c r="N3" s="255"/>
      <c r="O3" s="35"/>
      <c r="P3" s="111"/>
      <c r="Q3" s="415"/>
      <c r="R3" s="415"/>
      <c r="S3" s="111"/>
      <c r="T3" s="111"/>
      <c r="U3" s="111"/>
      <c r="V3" s="111"/>
      <c r="W3" s="111"/>
      <c r="X3" s="111"/>
    </row>
    <row r="4" spans="1:24" ht="40.5" customHeight="1">
      <c r="A4" t="s">
        <v>31</v>
      </c>
      <c r="B4"/>
      <c r="C4"/>
      <c r="D4" s="138" t="s">
        <v>294</v>
      </c>
      <c r="E4" s="138" t="s">
        <v>295</v>
      </c>
      <c r="H4" s="36"/>
      <c r="I4" s="36"/>
      <c r="J4" s="36"/>
      <c r="K4" s="36"/>
      <c r="M4" s="138" t="s">
        <v>296</v>
      </c>
      <c r="N4" s="138" t="s">
        <v>297</v>
      </c>
      <c r="O4" s="18"/>
      <c r="P4" s="111"/>
      <c r="Q4" s="415"/>
      <c r="R4" s="415"/>
      <c r="S4" s="111"/>
      <c r="T4" s="111"/>
      <c r="U4" s="111"/>
      <c r="V4" s="111"/>
      <c r="W4" s="111"/>
      <c r="X4" s="111"/>
    </row>
    <row r="5" spans="1:24" ht="12" customHeight="1">
      <c r="A5" s="151">
        <v>1</v>
      </c>
      <c r="B5" s="153" t="s">
        <v>181</v>
      </c>
      <c r="C5" s="152"/>
      <c r="D5" s="146">
        <f>[1]!FP11001130TitleI</f>
        <v>0</v>
      </c>
      <c r="E5" s="146"/>
      <c r="F5" s="115">
        <v>1</v>
      </c>
      <c r="G5" s="155">
        <v>1</v>
      </c>
      <c r="H5" s="267" t="s">
        <v>269</v>
      </c>
      <c r="I5" s="267"/>
      <c r="J5" s="288"/>
      <c r="K5" s="152"/>
      <c r="M5" s="147">
        <f>'[1]Page 2'!$N$5</f>
        <v>89317</v>
      </c>
      <c r="N5" s="147">
        <f>SP1000P200F1000</f>
        <v>144470</v>
      </c>
      <c r="O5" s="32">
        <v>1</v>
      </c>
      <c r="P5" s="111"/>
      <c r="Q5" s="111"/>
      <c r="R5" s="270"/>
      <c r="S5" s="270"/>
      <c r="T5" s="111"/>
      <c r="U5" s="111"/>
      <c r="V5" s="111"/>
      <c r="W5" s="111"/>
      <c r="X5" s="111"/>
    </row>
    <row r="6" spans="1:24" ht="12" customHeight="1">
      <c r="A6" s="151">
        <v>2</v>
      </c>
      <c r="B6" s="153" t="s">
        <v>182</v>
      </c>
      <c r="C6" s="152"/>
      <c r="D6" s="146">
        <f>[1]!FP11401150TitleII</f>
        <v>0</v>
      </c>
      <c r="E6" s="146"/>
      <c r="F6" s="115">
        <v>2</v>
      </c>
      <c r="G6" s="155">
        <v>2</v>
      </c>
      <c r="H6" s="152" t="s">
        <v>33</v>
      </c>
      <c r="I6" s="152"/>
      <c r="J6" s="152"/>
      <c r="K6" s="152"/>
      <c r="M6" s="147">
        <f>[1]!P200GiftedEducation</f>
        <v>0</v>
      </c>
      <c r="N6" s="147"/>
      <c r="O6" s="32">
        <v>2</v>
      </c>
      <c r="P6" s="111"/>
      <c r="Q6" s="111"/>
      <c r="R6" s="270"/>
      <c r="S6" s="270"/>
      <c r="T6" s="111"/>
      <c r="U6" s="111"/>
      <c r="V6" s="111"/>
      <c r="W6" s="111"/>
      <c r="X6" s="111"/>
    </row>
    <row r="7" spans="1:24" ht="12" customHeight="1">
      <c r="A7" s="151">
        <v>3</v>
      </c>
      <c r="B7" s="153" t="s">
        <v>183</v>
      </c>
      <c r="C7" s="152"/>
      <c r="D7" s="146">
        <f>[1]!FP1160TitleIV</f>
        <v>0</v>
      </c>
      <c r="E7" s="146"/>
      <c r="F7" s="115">
        <v>3</v>
      </c>
      <c r="G7" s="155">
        <v>3</v>
      </c>
      <c r="H7" s="152" t="s">
        <v>145</v>
      </c>
      <c r="I7" s="152"/>
      <c r="J7" s="152"/>
      <c r="K7" s="152"/>
      <c r="M7" s="146">
        <f>[1]!P200ELLIncrementalCosts</f>
        <v>0</v>
      </c>
      <c r="N7" s="146"/>
      <c r="O7" s="32">
        <v>3</v>
      </c>
      <c r="P7" s="111"/>
      <c r="Q7" s="111"/>
      <c r="R7" s="270"/>
      <c r="S7" s="270"/>
      <c r="T7" s="111"/>
      <c r="U7" s="111"/>
      <c r="V7" s="111"/>
      <c r="W7" s="111"/>
      <c r="X7" s="111"/>
    </row>
    <row r="8" spans="1:24" ht="12" customHeight="1">
      <c r="A8" s="151">
        <v>4</v>
      </c>
      <c r="B8" s="153" t="s">
        <v>184</v>
      </c>
      <c r="C8" s="152"/>
      <c r="D8" s="146">
        <f>[1]!FP11701180TitleV</f>
        <v>0</v>
      </c>
      <c r="E8" s="146"/>
      <c r="F8" s="115">
        <v>4</v>
      </c>
      <c r="G8" s="155">
        <v>4</v>
      </c>
      <c r="H8" s="152" t="s">
        <v>146</v>
      </c>
      <c r="I8" s="152"/>
      <c r="J8" s="152"/>
      <c r="K8" s="152"/>
      <c r="M8" s="146">
        <f>[1]!P200ELLCompensatoryInstruction</f>
        <v>0</v>
      </c>
      <c r="N8" s="146"/>
      <c r="O8" s="32">
        <v>4</v>
      </c>
      <c r="P8" s="111"/>
      <c r="Q8" s="111"/>
      <c r="R8" s="270"/>
      <c r="S8" s="270"/>
      <c r="T8" s="111"/>
      <c r="U8" s="111"/>
      <c r="V8" s="111"/>
      <c r="W8" s="111"/>
      <c r="X8" s="111"/>
    </row>
    <row r="9" spans="1:24" ht="12" customHeight="1">
      <c r="A9" s="151">
        <v>5</v>
      </c>
      <c r="B9" s="153" t="s">
        <v>185</v>
      </c>
      <c r="C9" s="152"/>
      <c r="D9" s="146">
        <f>[1]!FP1190TitleIII</f>
        <v>0</v>
      </c>
      <c r="E9" s="146"/>
      <c r="F9" s="115">
        <v>5</v>
      </c>
      <c r="G9" s="155">
        <v>5</v>
      </c>
      <c r="H9" s="152" t="s">
        <v>34</v>
      </c>
      <c r="I9" s="152"/>
      <c r="J9" s="152"/>
      <c r="K9" s="152"/>
      <c r="M9" s="146">
        <f>[1]!P200RemedialEducation</f>
        <v>0</v>
      </c>
      <c r="N9" s="146"/>
      <c r="O9" s="32">
        <v>5</v>
      </c>
      <c r="P9" s="111"/>
      <c r="Q9" s="111"/>
      <c r="R9" s="270"/>
      <c r="S9" s="270"/>
      <c r="T9" s="111"/>
      <c r="U9" s="111"/>
      <c r="V9" s="111"/>
      <c r="W9" s="111"/>
      <c r="X9" s="111"/>
    </row>
    <row r="10" spans="1:24" ht="12" customHeight="1">
      <c r="A10" s="151">
        <v>6</v>
      </c>
      <c r="B10" s="153" t="s">
        <v>186</v>
      </c>
      <c r="C10" s="152"/>
      <c r="D10" s="146">
        <f>[1]!FP1200TitleVII</f>
        <v>0</v>
      </c>
      <c r="E10" s="146"/>
      <c r="F10" s="115">
        <v>6</v>
      </c>
      <c r="G10" s="155">
        <v>6</v>
      </c>
      <c r="H10" s="152" t="s">
        <v>179</v>
      </c>
      <c r="I10" s="152"/>
      <c r="J10" s="152"/>
      <c r="K10" s="152"/>
      <c r="M10" s="146">
        <f>[1]!P200VocationalandTechnologicalEd</f>
        <v>0</v>
      </c>
      <c r="N10" s="146"/>
      <c r="O10" s="32">
        <v>6</v>
      </c>
      <c r="P10" s="111"/>
      <c r="Q10" s="111"/>
      <c r="R10" s="270"/>
      <c r="S10" s="270"/>
      <c r="T10" s="111"/>
      <c r="U10" s="111"/>
      <c r="V10" s="111"/>
      <c r="W10" s="111"/>
      <c r="X10" s="111"/>
    </row>
    <row r="11" spans="1:24" ht="12" customHeight="1">
      <c r="A11" s="151">
        <v>7</v>
      </c>
      <c r="B11" s="153" t="s">
        <v>187</v>
      </c>
      <c r="C11" s="152"/>
      <c r="D11" s="146">
        <f>[1]!FP1210TitleVI</f>
        <v>0</v>
      </c>
      <c r="E11" s="146"/>
      <c r="F11" s="115">
        <v>7</v>
      </c>
      <c r="G11" s="155">
        <v>7</v>
      </c>
      <c r="H11" s="152" t="s">
        <v>35</v>
      </c>
      <c r="I11" s="152"/>
      <c r="J11" s="152"/>
      <c r="K11" s="152"/>
      <c r="M11" s="146">
        <f>[1]!P200CareerEducation</f>
        <v>0</v>
      </c>
      <c r="N11" s="146"/>
      <c r="O11" s="32">
        <v>7</v>
      </c>
      <c r="P11" s="111"/>
      <c r="Q11" s="111"/>
      <c r="R11" s="270"/>
      <c r="S11" s="270"/>
      <c r="T11" s="111"/>
      <c r="U11" s="111"/>
      <c r="V11" s="111"/>
      <c r="W11" s="111"/>
      <c r="X11" s="111"/>
    </row>
    <row r="12" spans="1:24" ht="12" customHeight="1">
      <c r="A12" s="151">
        <v>8</v>
      </c>
      <c r="B12" s="152" t="s">
        <v>46</v>
      </c>
      <c r="C12" s="152"/>
      <c r="D12" s="146">
        <f>[1]!FP1220IDEA</f>
        <v>40115</v>
      </c>
      <c r="E12" s="146">
        <v>38938</v>
      </c>
      <c r="F12" s="115">
        <v>8</v>
      </c>
      <c r="G12" s="155">
        <v>8</v>
      </c>
      <c r="H12" s="267" t="s">
        <v>268</v>
      </c>
      <c r="I12" s="267"/>
      <c r="J12" s="288"/>
      <c r="K12" s="152"/>
      <c r="M12" s="290">
        <f>SUM(M5:M11)</f>
        <v>89317</v>
      </c>
      <c r="N12" s="290">
        <f>SUM(N5:N11)</f>
        <v>144470</v>
      </c>
      <c r="O12" s="32">
        <v>8</v>
      </c>
      <c r="P12" s="111"/>
      <c r="Q12" s="111"/>
      <c r="R12" s="270"/>
      <c r="S12" s="270"/>
      <c r="T12" s="111"/>
      <c r="U12" s="111"/>
      <c r="V12" s="111"/>
      <c r="W12" s="111"/>
      <c r="X12" s="111"/>
    </row>
    <row r="13" spans="1:24" ht="12" customHeight="1">
      <c r="A13" s="151">
        <v>9</v>
      </c>
      <c r="B13" s="152" t="s">
        <v>47</v>
      </c>
      <c r="C13" s="152"/>
      <c r="D13" s="146">
        <f>[1]!FP1230Johnson</f>
        <v>0</v>
      </c>
      <c r="E13" s="146"/>
      <c r="F13" s="115">
        <v>9</v>
      </c>
      <c r="G13" s="155"/>
      <c r="H13" s="153"/>
      <c r="I13" s="152"/>
      <c r="J13" s="152"/>
      <c r="K13" s="152"/>
      <c r="M13" s="158"/>
      <c r="N13" s="158"/>
      <c r="O13" s="32"/>
      <c r="P13" s="111"/>
      <c r="Q13" s="111"/>
      <c r="R13" s="270"/>
      <c r="S13" s="270"/>
      <c r="T13" s="111"/>
      <c r="U13" s="111"/>
      <c r="V13" s="111"/>
      <c r="W13" s="111"/>
      <c r="X13" s="111"/>
    </row>
    <row r="14" spans="1:24" ht="12" customHeight="1">
      <c r="A14" s="151">
        <v>10</v>
      </c>
      <c r="B14" s="152" t="s">
        <v>131</v>
      </c>
      <c r="C14" s="152"/>
      <c r="D14" s="146">
        <f>[1]!FP1240WIA</f>
        <v>0</v>
      </c>
      <c r="E14" s="146"/>
      <c r="F14" s="115">
        <v>10</v>
      </c>
      <c r="G14" s="155"/>
      <c r="H14" s="262" t="s">
        <v>174</v>
      </c>
      <c r="I14" s="255"/>
      <c r="J14" s="255"/>
      <c r="K14" s="255"/>
      <c r="L14" s="255"/>
      <c r="M14" s="158"/>
      <c r="N14" s="158"/>
      <c r="O14" s="32"/>
      <c r="P14" s="111"/>
      <c r="Q14" s="111"/>
      <c r="R14" s="270"/>
      <c r="S14" s="270"/>
      <c r="T14" s="111"/>
      <c r="U14" s="111"/>
      <c r="V14" s="111"/>
      <c r="W14" s="111"/>
      <c r="X14" s="111"/>
    </row>
    <row r="15" spans="1:24" ht="12" customHeight="1">
      <c r="A15" s="151">
        <v>11</v>
      </c>
      <c r="B15" s="153" t="s">
        <v>188</v>
      </c>
      <c r="C15" s="152"/>
      <c r="D15" s="146">
        <f>[1]!FP1250AEA</f>
        <v>0</v>
      </c>
      <c r="E15" s="146"/>
      <c r="F15" s="115">
        <v>11</v>
      </c>
      <c r="G15" s="155"/>
      <c r="H15" s="156" t="s">
        <v>134</v>
      </c>
      <c r="I15" s="14"/>
      <c r="M15" s="286"/>
      <c r="N15" s="285"/>
      <c r="O15" s="32"/>
      <c r="P15" s="111"/>
      <c r="Q15" s="111"/>
      <c r="R15" s="270"/>
      <c r="S15" s="270"/>
      <c r="T15" s="111"/>
      <c r="U15" s="111"/>
      <c r="V15" s="111"/>
      <c r="W15" s="111"/>
      <c r="X15" s="111"/>
    </row>
    <row r="16" spans="1:24" ht="12" customHeight="1">
      <c r="A16" s="151">
        <v>12</v>
      </c>
      <c r="B16" s="153" t="s">
        <v>189</v>
      </c>
      <c r="C16" s="152"/>
      <c r="D16" s="146">
        <f>[1]!FP12601270VocEd</f>
        <v>0</v>
      </c>
      <c r="E16" s="146"/>
      <c r="F16" s="115">
        <v>12</v>
      </c>
      <c r="G16" s="155"/>
      <c r="H16" s="152"/>
      <c r="I16" s="152"/>
      <c r="J16" s="152"/>
      <c r="K16" s="152"/>
      <c r="M16" s="422" t="s">
        <v>298</v>
      </c>
      <c r="N16" s="422" t="s">
        <v>295</v>
      </c>
      <c r="O16" s="32"/>
      <c r="P16" s="111"/>
      <c r="Q16" s="111"/>
      <c r="R16" s="270"/>
      <c r="S16" s="270"/>
      <c r="T16" s="111"/>
      <c r="U16" s="111"/>
      <c r="V16" s="111"/>
      <c r="W16" s="111"/>
      <c r="X16" s="111"/>
    </row>
    <row r="17" spans="1:24" ht="12" customHeight="1">
      <c r="A17" s="151">
        <v>13</v>
      </c>
      <c r="B17" s="153" t="s">
        <v>190</v>
      </c>
      <c r="C17" s="152"/>
      <c r="D17" s="146">
        <f>[1]!FP1280TitleX</f>
        <v>0</v>
      </c>
      <c r="E17" s="146"/>
      <c r="F17" s="115">
        <v>13</v>
      </c>
      <c r="G17" s="155"/>
      <c r="H17" s="152"/>
      <c r="I17" s="152"/>
      <c r="J17" s="152"/>
      <c r="K17" s="152"/>
      <c r="M17" s="422"/>
      <c r="N17" s="422"/>
      <c r="O17" s="32"/>
      <c r="P17" s="111"/>
      <c r="Q17" s="111"/>
      <c r="R17" s="270"/>
      <c r="S17" s="270"/>
      <c r="T17" s="111"/>
      <c r="U17" s="111"/>
      <c r="V17" s="111"/>
      <c r="W17" s="111"/>
      <c r="X17" s="111"/>
    </row>
    <row r="18" spans="1:24" ht="12" customHeight="1">
      <c r="A18" s="151">
        <v>14</v>
      </c>
      <c r="B18" s="153" t="s">
        <v>66</v>
      </c>
      <c r="C18" s="152"/>
      <c r="D18" s="146">
        <f>[1]!FP1290Medicaid</f>
        <v>0</v>
      </c>
      <c r="E18" s="146"/>
      <c r="F18" s="115">
        <v>14</v>
      </c>
      <c r="G18" s="151" t="s">
        <v>43</v>
      </c>
      <c r="H18" s="156" t="s">
        <v>132</v>
      </c>
      <c r="I18" s="156"/>
      <c r="J18" s="152"/>
      <c r="K18" s="152"/>
      <c r="M18" s="147">
        <f>[1]!IIPTeacherCompensationIncreases</f>
        <v>0</v>
      </c>
      <c r="N18" s="147"/>
      <c r="O18" s="151" t="s">
        <v>43</v>
      </c>
      <c r="P18" s="111"/>
      <c r="Q18" s="111"/>
      <c r="R18" s="270"/>
      <c r="S18" s="270"/>
      <c r="T18" s="111"/>
      <c r="U18" s="111"/>
      <c r="V18" s="111"/>
      <c r="W18" s="111"/>
      <c r="X18" s="111"/>
    </row>
    <row r="19" spans="1:24" ht="12" customHeight="1">
      <c r="A19" s="151">
        <v>15</v>
      </c>
      <c r="B19" s="152" t="s">
        <v>74</v>
      </c>
      <c r="C19" s="152"/>
      <c r="D19" s="147">
        <f>[1]!FP1300Charter</f>
        <v>0</v>
      </c>
      <c r="E19" s="147"/>
      <c r="F19" s="115">
        <v>15</v>
      </c>
      <c r="G19" s="151" t="s">
        <v>44</v>
      </c>
      <c r="H19" s="157" t="s">
        <v>133</v>
      </c>
      <c r="I19" s="157"/>
      <c r="J19" s="284"/>
      <c r="M19" s="147">
        <f>[1]!IIPClassSizeReduction</f>
        <v>8184</v>
      </c>
      <c r="N19" s="147">
        <f>21208/2</f>
        <v>10604</v>
      </c>
      <c r="O19" s="151" t="s">
        <v>44</v>
      </c>
      <c r="P19" s="111"/>
      <c r="Q19" s="111"/>
      <c r="R19" s="270"/>
      <c r="S19" s="270"/>
      <c r="T19" s="111"/>
      <c r="U19" s="111"/>
      <c r="V19" s="111"/>
      <c r="W19" s="111"/>
      <c r="X19" s="111"/>
    </row>
    <row r="20" spans="1:24" ht="12" customHeight="1">
      <c r="A20" s="151">
        <v>16</v>
      </c>
      <c r="B20" s="153" t="s">
        <v>255</v>
      </c>
      <c r="C20" s="152"/>
      <c r="D20" s="280">
        <f>[1]!FP13__ImpactAid</f>
        <v>0</v>
      </c>
      <c r="E20" s="280"/>
      <c r="F20" s="115">
        <v>16</v>
      </c>
      <c r="G20" s="151" t="s">
        <v>105</v>
      </c>
      <c r="H20" s="267" t="s">
        <v>234</v>
      </c>
      <c r="I20" s="267"/>
      <c r="J20" s="288"/>
      <c r="K20" s="289"/>
      <c r="M20" s="147">
        <f>[1]!IIPDropoutPreventionPrograms</f>
        <v>0</v>
      </c>
      <c r="N20" s="147"/>
      <c r="O20" s="151" t="s">
        <v>105</v>
      </c>
      <c r="P20" s="111"/>
      <c r="Q20" s="111"/>
      <c r="R20" s="270"/>
      <c r="S20" s="270"/>
      <c r="T20" s="111"/>
      <c r="U20" s="111"/>
      <c r="V20" s="111"/>
      <c r="W20" s="111"/>
      <c r="X20" s="111"/>
    </row>
    <row r="21" spans="1:24" ht="12" customHeight="1" thickBot="1">
      <c r="A21" s="151">
        <v>17</v>
      </c>
      <c r="B21" s="152" t="s">
        <v>70</v>
      </c>
      <c r="C21" s="152"/>
      <c r="D21" s="148">
        <f>[1]!FP13101399Other</f>
        <v>0</v>
      </c>
      <c r="E21" s="148"/>
      <c r="F21" s="115">
        <v>17</v>
      </c>
      <c r="G21" s="151" t="s">
        <v>106</v>
      </c>
      <c r="H21" s="267" t="s">
        <v>235</v>
      </c>
      <c r="I21" s="267"/>
      <c r="J21" s="288"/>
      <c r="K21" s="289"/>
      <c r="M21" s="148">
        <f>[1]!IIPInstructionalImprovementPrograms</f>
        <v>8184</v>
      </c>
      <c r="N21" s="148">
        <v>10604</v>
      </c>
      <c r="O21" s="151" t="s">
        <v>106</v>
      </c>
      <c r="P21" s="111"/>
      <c r="Q21" s="111"/>
      <c r="R21" s="270"/>
      <c r="S21" s="270"/>
      <c r="T21" s="111"/>
      <c r="U21" s="111"/>
      <c r="V21" s="111"/>
      <c r="W21" s="111"/>
      <c r="X21" s="111"/>
    </row>
    <row r="22" spans="1:24" ht="12" customHeight="1" thickBot="1">
      <c r="A22" s="151">
        <v>18</v>
      </c>
      <c r="B22" s="153" t="s">
        <v>254</v>
      </c>
      <c r="C22" s="152"/>
      <c r="D22" s="150">
        <f>SUM(D5:D21)</f>
        <v>40115</v>
      </c>
      <c r="E22" s="150">
        <f>SUM(E5:E21)</f>
        <v>38938</v>
      </c>
      <c r="F22" s="115">
        <v>18</v>
      </c>
      <c r="G22" s="151" t="s">
        <v>107</v>
      </c>
      <c r="H22" s="156" t="s">
        <v>135</v>
      </c>
      <c r="I22" s="156"/>
      <c r="J22" s="152"/>
      <c r="K22" s="152"/>
      <c r="M22" s="150">
        <f>SUM(M18:M21)</f>
        <v>16368</v>
      </c>
      <c r="N22" s="150">
        <f>SUM(N18:N21)</f>
        <v>21208</v>
      </c>
      <c r="O22" s="151" t="s">
        <v>107</v>
      </c>
      <c r="P22" s="111"/>
      <c r="Q22" s="111"/>
      <c r="R22" s="270"/>
      <c r="S22" s="270"/>
      <c r="T22" s="111"/>
      <c r="U22" s="111"/>
      <c r="V22" s="111"/>
      <c r="W22" s="111"/>
      <c r="X22" s="111"/>
    </row>
    <row r="23" spans="1:24" ht="12" customHeight="1" thickTop="1">
      <c r="A23" s="154" t="s">
        <v>32</v>
      </c>
      <c r="B23" s="152"/>
      <c r="C23" s="152"/>
      <c r="D23" s="192"/>
      <c r="E23" s="193"/>
      <c r="F23" s="115"/>
      <c r="K23" s="287"/>
      <c r="P23" s="111"/>
      <c r="Q23" s="111"/>
      <c r="R23" s="270"/>
      <c r="S23" s="270"/>
      <c r="T23" s="111"/>
      <c r="U23" s="111"/>
      <c r="V23" s="111"/>
      <c r="W23" s="111"/>
      <c r="X23" s="111"/>
    </row>
    <row r="24" spans="1:24" ht="12" customHeight="1">
      <c r="A24" s="151">
        <v>19</v>
      </c>
      <c r="B24" s="152" t="s">
        <v>48</v>
      </c>
      <c r="C24" s="152"/>
      <c r="D24" s="191">
        <f>[1]!SP1400VocEd</f>
        <v>0</v>
      </c>
      <c r="E24" s="191"/>
      <c r="F24" s="115">
        <v>19</v>
      </c>
      <c r="H24" s="113" t="s">
        <v>57</v>
      </c>
      <c r="I24" s="36"/>
      <c r="J24" s="36"/>
      <c r="L24" s="262" t="s">
        <v>59</v>
      </c>
      <c r="M24" s="255"/>
      <c r="N24" s="255"/>
      <c r="O24" s="255"/>
      <c r="P24" s="111"/>
      <c r="Q24" s="111"/>
      <c r="R24" s="270"/>
      <c r="S24" s="270"/>
      <c r="T24" s="111"/>
      <c r="U24" s="111"/>
      <c r="V24" s="111"/>
      <c r="W24" s="111"/>
      <c r="X24" s="111"/>
    </row>
    <row r="25" spans="1:24" ht="12" customHeight="1">
      <c r="A25" s="151">
        <v>20</v>
      </c>
      <c r="B25" s="152" t="s">
        <v>67</v>
      </c>
      <c r="C25" s="152"/>
      <c r="D25" s="146">
        <f>[1]!SP1410EarlyChildhoodBlockGrant</f>
        <v>0</v>
      </c>
      <c r="E25" s="146"/>
      <c r="F25" s="115">
        <v>20</v>
      </c>
      <c r="H25" s="113" t="s">
        <v>58</v>
      </c>
      <c r="I25" s="36"/>
      <c r="J25" s="36"/>
      <c r="L25" s="36" t="s">
        <v>39</v>
      </c>
      <c r="M25" s="36"/>
      <c r="N25" s="36"/>
      <c r="P25" s="111"/>
      <c r="Q25" s="111"/>
      <c r="R25" s="270"/>
      <c r="S25" s="270"/>
      <c r="T25" s="111"/>
      <c r="U25" s="111"/>
      <c r="V25" s="111"/>
      <c r="W25" s="111"/>
      <c r="X25" s="111"/>
    </row>
    <row r="26" spans="1:24" ht="12" customHeight="1">
      <c r="A26" s="151">
        <v>21</v>
      </c>
      <c r="B26" s="153" t="s">
        <v>191</v>
      </c>
      <c r="C26" s="152"/>
      <c r="D26" s="146">
        <f>[1]!FP1420ExtendedSchool</f>
        <v>0</v>
      </c>
      <c r="E26" s="146"/>
      <c r="F26" s="115">
        <v>21</v>
      </c>
      <c r="H26" s="44" t="s">
        <v>36</v>
      </c>
      <c r="I26" s="112" t="s">
        <v>37</v>
      </c>
      <c r="J26" s="117"/>
      <c r="L26" s="57" t="s">
        <v>40</v>
      </c>
      <c r="N26" s="28">
        <v>9300</v>
      </c>
      <c r="P26" s="111"/>
      <c r="Q26" s="111"/>
      <c r="R26" s="270"/>
      <c r="S26" s="270"/>
      <c r="T26" s="111"/>
      <c r="U26" s="111"/>
      <c r="V26" s="111"/>
      <c r="W26" s="111"/>
      <c r="X26" s="111"/>
    </row>
    <row r="27" spans="1:24" ht="12" customHeight="1">
      <c r="A27" s="151">
        <v>22</v>
      </c>
      <c r="B27" s="152" t="s">
        <v>49</v>
      </c>
      <c r="C27" s="152"/>
      <c r="D27" s="146">
        <f>[1]!SP1425AdultBasicEd</f>
        <v>0</v>
      </c>
      <c r="E27" s="146"/>
      <c r="F27" s="115">
        <v>22</v>
      </c>
      <c r="G27" s="278"/>
      <c r="H27" s="44" t="s">
        <v>38</v>
      </c>
      <c r="I27" s="112" t="s">
        <v>37</v>
      </c>
      <c r="J27" s="300"/>
      <c r="K27" s="152"/>
      <c r="L27" s="139" t="s">
        <v>41</v>
      </c>
      <c r="N27" s="28">
        <f>SP1000P100F1000+SP1000P200F1000</f>
        <v>1925048</v>
      </c>
      <c r="O27" s="32"/>
      <c r="P27" s="111"/>
      <c r="Q27" s="111"/>
      <c r="R27" s="270"/>
      <c r="S27" s="270"/>
      <c r="T27" s="111"/>
      <c r="U27" s="111"/>
      <c r="V27" s="111"/>
      <c r="W27" s="111"/>
      <c r="X27" s="111"/>
    </row>
    <row r="28" spans="1:24" ht="12" customHeight="1">
      <c r="A28" s="151">
        <v>23</v>
      </c>
      <c r="B28" s="152" t="s">
        <v>50</v>
      </c>
      <c r="C28" s="152"/>
      <c r="D28" s="146">
        <f>[1]!SP1430ChemicalAbuse</f>
        <v>0</v>
      </c>
      <c r="E28" s="146"/>
      <c r="F28" s="115">
        <v>23</v>
      </c>
      <c r="I28" s="112"/>
      <c r="J28" s="118"/>
      <c r="L28" s="139"/>
      <c r="N28" s="301"/>
      <c r="P28" s="111"/>
      <c r="Q28" s="111"/>
      <c r="R28" s="111"/>
      <c r="S28" s="111"/>
      <c r="T28" s="111"/>
      <c r="U28" s="111"/>
      <c r="V28" s="111"/>
      <c r="W28" s="111"/>
      <c r="X28" s="111"/>
    </row>
    <row r="29" spans="1:24" ht="12" customHeight="1">
      <c r="A29" s="151">
        <v>24</v>
      </c>
      <c r="B29" s="152" t="s">
        <v>51</v>
      </c>
      <c r="C29" s="152"/>
      <c r="D29" s="146">
        <f>[1]!SP1435AcademicContests</f>
        <v>0</v>
      </c>
      <c r="E29" s="146"/>
      <c r="F29" s="115">
        <v>24</v>
      </c>
      <c r="H29" s="263" t="s">
        <v>220</v>
      </c>
      <c r="I29" s="254"/>
      <c r="J29" s="254"/>
      <c r="K29" s="254"/>
      <c r="L29" s="254"/>
      <c r="M29" s="254"/>
      <c r="P29" s="111"/>
      <c r="Q29" s="111"/>
      <c r="R29" s="111"/>
      <c r="S29" s="111"/>
      <c r="T29" s="111"/>
      <c r="U29" s="111"/>
      <c r="V29" s="111"/>
      <c r="W29" s="111"/>
      <c r="X29" s="111"/>
    </row>
    <row r="30" spans="1:24" ht="12" customHeight="1">
      <c r="A30" s="151">
        <v>25</v>
      </c>
      <c r="B30" s="152" t="s">
        <v>153</v>
      </c>
      <c r="C30" s="152"/>
      <c r="D30" s="146">
        <f>[1]!SP1450GiftedEd</f>
        <v>0</v>
      </c>
      <c r="E30" s="146"/>
      <c r="F30" s="115">
        <v>25</v>
      </c>
      <c r="H30" s="263" t="s">
        <v>221</v>
      </c>
      <c r="I30" s="254"/>
      <c r="J30" s="254"/>
      <c r="K30" s="254"/>
      <c r="L30" s="254"/>
      <c r="M30" s="254"/>
      <c r="O30" s="116"/>
      <c r="P30" s="111"/>
      <c r="Q30" s="111"/>
      <c r="R30" s="111"/>
      <c r="S30" s="111"/>
      <c r="T30" s="111"/>
      <c r="U30" s="111"/>
      <c r="V30" s="111"/>
      <c r="W30" s="111"/>
      <c r="X30" s="111"/>
    </row>
    <row r="31" spans="1:24" ht="12" customHeight="1">
      <c r="A31" s="151">
        <v>26</v>
      </c>
      <c r="B31" s="267" t="s">
        <v>282</v>
      </c>
      <c r="C31" s="267"/>
      <c r="D31" s="146">
        <f>'[1]Page 2'!$E$31</f>
        <v>0</v>
      </c>
      <c r="E31" s="146"/>
      <c r="F31" s="115">
        <v>26</v>
      </c>
      <c r="H31" s="153" t="s">
        <v>218</v>
      </c>
      <c r="K31" s="36"/>
      <c r="M31" s="302"/>
      <c r="O31" s="116"/>
      <c r="P31" s="111"/>
      <c r="Q31" s="111"/>
      <c r="R31" s="111"/>
      <c r="S31" s="111"/>
      <c r="T31" s="111"/>
      <c r="U31" s="111"/>
      <c r="V31" s="111"/>
      <c r="W31" s="111"/>
      <c r="X31" s="111"/>
    </row>
    <row r="32" spans="1:24" ht="12" customHeight="1">
      <c r="A32" s="151">
        <v>27</v>
      </c>
      <c r="B32" s="267" t="s">
        <v>283</v>
      </c>
      <c r="C32" s="267"/>
      <c r="D32" s="146">
        <f>'[1]Page 2'!$E$32</f>
        <v>83700</v>
      </c>
      <c r="E32" s="146">
        <v>108450</v>
      </c>
      <c r="F32" s="115">
        <v>27</v>
      </c>
      <c r="H32" s="153" t="s">
        <v>219</v>
      </c>
      <c r="M32" s="302"/>
      <c r="N32" s="299"/>
      <c r="O32" s="116"/>
      <c r="P32" s="111"/>
      <c r="Q32" s="111"/>
      <c r="R32" s="111"/>
      <c r="S32" s="111"/>
      <c r="T32" s="111"/>
      <c r="U32" s="111"/>
      <c r="V32" s="111"/>
      <c r="W32" s="111"/>
      <c r="X32" s="111"/>
    </row>
    <row r="33" spans="1:24" ht="12" customHeight="1">
      <c r="A33" s="151">
        <v>28</v>
      </c>
      <c r="B33" s="152" t="s">
        <v>52</v>
      </c>
      <c r="C33" s="152"/>
      <c r="D33" s="146">
        <f>[1]!SP1460EnvironmentalSpecialPlate</f>
        <v>0</v>
      </c>
      <c r="E33" s="146"/>
      <c r="F33" s="115">
        <v>28</v>
      </c>
      <c r="H33" s="153"/>
      <c r="K33" s="36"/>
      <c r="O33" s="35"/>
      <c r="P33" s="111"/>
      <c r="Q33" s="111"/>
      <c r="R33" s="111"/>
      <c r="S33" s="111"/>
      <c r="T33" s="111"/>
      <c r="U33" s="111"/>
      <c r="V33" s="111"/>
      <c r="W33" s="111"/>
      <c r="X33" s="111"/>
    </row>
    <row r="34" spans="1:24" ht="12" customHeight="1">
      <c r="A34" s="151">
        <v>29</v>
      </c>
      <c r="B34" s="152" t="s">
        <v>71</v>
      </c>
      <c r="C34" s="152"/>
      <c r="D34" s="146">
        <f>[1]!SP1465CharterSchool</f>
        <v>0</v>
      </c>
      <c r="E34" s="146"/>
      <c r="F34" s="115">
        <v>29</v>
      </c>
      <c r="H34" s="153"/>
      <c r="N34" s="144"/>
      <c r="P34" s="111"/>
      <c r="Q34" s="111"/>
      <c r="R34" s="111"/>
      <c r="S34" s="111"/>
      <c r="T34" s="111"/>
      <c r="U34" s="111"/>
      <c r="V34" s="111"/>
      <c r="W34" s="111"/>
      <c r="X34" s="111"/>
    </row>
    <row r="35" spans="1:24" ht="12" customHeight="1" thickBot="1">
      <c r="A35" s="151">
        <v>30</v>
      </c>
      <c r="B35" s="43" t="s">
        <v>72</v>
      </c>
      <c r="C35" s="43"/>
      <c r="D35" s="146">
        <f>[1]!SP14701499Other</f>
        <v>0</v>
      </c>
      <c r="E35" s="146"/>
      <c r="F35" s="115">
        <v>30</v>
      </c>
      <c r="G35" s="18"/>
      <c r="H35" s="311"/>
      <c r="I35" s="312"/>
      <c r="J35" s="311"/>
      <c r="K35" s="312"/>
      <c r="L35" s="311"/>
      <c r="M35" s="312"/>
      <c r="N35" s="313"/>
      <c r="O35" s="18"/>
      <c r="P35" s="136"/>
      <c r="Q35" s="111"/>
      <c r="R35" s="111"/>
      <c r="S35" s="111"/>
      <c r="T35" s="111"/>
      <c r="U35" s="111"/>
      <c r="V35" s="111"/>
      <c r="W35" s="111"/>
      <c r="X35" s="111"/>
    </row>
    <row r="36" spans="1:24" ht="12" customHeight="1" thickBot="1">
      <c r="A36" s="151">
        <v>31</v>
      </c>
      <c r="B36" s="153" t="s">
        <v>286</v>
      </c>
      <c r="C36" s="152"/>
      <c r="D36" s="149">
        <f>SUM(D24:D35)</f>
        <v>83700</v>
      </c>
      <c r="E36" s="149">
        <f>SUM(E23:E35)</f>
        <v>108450</v>
      </c>
      <c r="F36" s="115">
        <v>31</v>
      </c>
      <c r="G36" s="310"/>
      <c r="H36" s="287"/>
      <c r="I36" s="287"/>
      <c r="J36" s="287"/>
      <c r="K36" s="287"/>
      <c r="L36" s="287"/>
      <c r="M36" s="287"/>
      <c r="N36" s="301"/>
      <c r="O36" s="310"/>
      <c r="P36" s="136"/>
      <c r="Q36" s="111"/>
      <c r="R36" s="111"/>
      <c r="S36" s="111"/>
      <c r="T36" s="111"/>
      <c r="U36" s="111"/>
      <c r="V36" s="111"/>
      <c r="W36" s="111"/>
      <c r="X36" s="111"/>
    </row>
    <row r="37" spans="1:24" ht="12" customHeight="1" thickBot="1" thickTop="1">
      <c r="A37" s="268">
        <v>32</v>
      </c>
      <c r="B37" s="153" t="s">
        <v>287</v>
      </c>
      <c r="C37" s="152"/>
      <c r="D37" s="150">
        <f>D22+D36</f>
        <v>123815</v>
      </c>
      <c r="E37" s="150">
        <f>E22+E36</f>
        <v>147388</v>
      </c>
      <c r="F37" s="115">
        <v>32</v>
      </c>
      <c r="G37" s="310"/>
      <c r="H37" s="287"/>
      <c r="I37" s="287"/>
      <c r="J37" s="287"/>
      <c r="K37" s="287"/>
      <c r="L37" s="287"/>
      <c r="M37" s="287"/>
      <c r="N37" s="301"/>
      <c r="O37" s="310"/>
      <c r="P37" s="136"/>
      <c r="Q37" s="111"/>
      <c r="R37" s="111"/>
      <c r="S37" s="111"/>
      <c r="T37" s="111"/>
      <c r="U37" s="111"/>
      <c r="V37" s="111"/>
      <c r="W37" s="111"/>
      <c r="X37" s="111"/>
    </row>
    <row r="38" spans="1:24" ht="12" customHeight="1" thickTop="1">
      <c r="A38" s="114"/>
      <c r="F38" s="32"/>
      <c r="G38" s="310"/>
      <c r="H38" s="287"/>
      <c r="I38" s="287"/>
      <c r="J38" s="314"/>
      <c r="K38" s="158"/>
      <c r="L38" s="287"/>
      <c r="M38" s="287"/>
      <c r="N38" s="301"/>
      <c r="O38" s="310"/>
      <c r="P38" s="136"/>
      <c r="Q38" s="111"/>
      <c r="R38" s="111"/>
      <c r="S38" s="111"/>
      <c r="T38" s="111"/>
      <c r="U38" s="111"/>
      <c r="V38" s="111"/>
      <c r="W38" s="111"/>
      <c r="X38" s="111"/>
    </row>
    <row r="39" spans="2:24" ht="13.5" customHeight="1">
      <c r="B39" s="269" t="s">
        <v>60</v>
      </c>
      <c r="C39" s="262"/>
      <c r="D39" s="138" t="s">
        <v>249</v>
      </c>
      <c r="E39" s="138" t="s">
        <v>55</v>
      </c>
      <c r="F39" s="32"/>
      <c r="G39" s="310"/>
      <c r="H39" s="287"/>
      <c r="I39" s="287"/>
      <c r="J39" s="314"/>
      <c r="K39" s="158"/>
      <c r="L39" s="287"/>
      <c r="M39" s="287"/>
      <c r="N39" s="301"/>
      <c r="O39" s="310"/>
      <c r="P39" s="136"/>
      <c r="Q39" s="111"/>
      <c r="R39" s="111"/>
      <c r="S39" s="111"/>
      <c r="T39" s="111"/>
      <c r="U39" s="111"/>
      <c r="V39" s="111"/>
      <c r="W39" s="111"/>
      <c r="X39" s="111"/>
    </row>
    <row r="40" spans="1:24" ht="12.75">
      <c r="A40" s="155">
        <v>1</v>
      </c>
      <c r="B40" s="152" t="s">
        <v>171</v>
      </c>
      <c r="D40" s="27">
        <f>[1]!CA0191Land</f>
        <v>0</v>
      </c>
      <c r="E40" s="28"/>
      <c r="F40" s="32">
        <v>1</v>
      </c>
      <c r="G40" s="310"/>
      <c r="H40" s="65"/>
      <c r="I40" s="65"/>
      <c r="J40" s="65"/>
      <c r="K40" s="65"/>
      <c r="L40" s="65"/>
      <c r="M40" s="65"/>
      <c r="N40" s="301"/>
      <c r="O40" s="310"/>
      <c r="P40" s="136"/>
      <c r="Q40" s="111"/>
      <c r="R40" s="111"/>
      <c r="S40" s="111"/>
      <c r="T40" s="111"/>
      <c r="U40" s="111"/>
      <c r="V40" s="111"/>
      <c r="W40" s="111"/>
      <c r="X40" s="111"/>
    </row>
    <row r="41" spans="1:24" ht="12" customHeight="1">
      <c r="A41" s="155">
        <v>2</v>
      </c>
      <c r="B41" s="152" t="s">
        <v>154</v>
      </c>
      <c r="D41" s="27">
        <f>[1]!CA0192SiteImprovements</f>
        <v>0</v>
      </c>
      <c r="E41" s="27"/>
      <c r="F41" s="32">
        <v>2</v>
      </c>
      <c r="G41" s="310"/>
      <c r="H41" s="287"/>
      <c r="I41" s="287"/>
      <c r="J41" s="314"/>
      <c r="K41" s="158"/>
      <c r="L41" s="287"/>
      <c r="M41" s="287"/>
      <c r="N41" s="301"/>
      <c r="O41" s="310"/>
      <c r="P41" s="136"/>
      <c r="Q41" s="111"/>
      <c r="R41" s="111"/>
      <c r="S41" s="111"/>
      <c r="T41" s="111"/>
      <c r="U41" s="111"/>
      <c r="V41" s="111"/>
      <c r="W41" s="111"/>
      <c r="X41" s="111"/>
    </row>
    <row r="42" spans="1:16" ht="12" customHeight="1">
      <c r="A42" s="155">
        <v>3</v>
      </c>
      <c r="B42" s="152" t="s">
        <v>155</v>
      </c>
      <c r="D42" s="27">
        <f>[1]!CA0194Buildings</f>
        <v>0</v>
      </c>
      <c r="E42" s="27">
        <v>8000</v>
      </c>
      <c r="F42" s="32">
        <v>3</v>
      </c>
      <c r="G42" s="304"/>
      <c r="H42" s="287"/>
      <c r="I42" s="287"/>
      <c r="J42" s="314"/>
      <c r="K42" s="158"/>
      <c r="L42" s="287"/>
      <c r="M42" s="287"/>
      <c r="N42" s="301"/>
      <c r="O42" s="304"/>
      <c r="P42" s="136"/>
    </row>
    <row r="43" spans="1:16" ht="12" customHeight="1">
      <c r="A43" s="155">
        <v>4</v>
      </c>
      <c r="B43" s="152" t="s">
        <v>156</v>
      </c>
      <c r="D43" s="27">
        <f>[1]!CA0196Equipment</f>
        <v>85400</v>
      </c>
      <c r="E43" s="27"/>
      <c r="F43" s="32">
        <v>4</v>
      </c>
      <c r="G43" s="304"/>
      <c r="H43" s="287"/>
      <c r="I43" s="287"/>
      <c r="J43" s="314"/>
      <c r="K43" s="158"/>
      <c r="L43" s="287"/>
      <c r="M43" s="287"/>
      <c r="N43" s="301"/>
      <c r="O43" s="304"/>
      <c r="P43" s="18"/>
    </row>
    <row r="44" spans="1:16" ht="12" customHeight="1" thickBot="1">
      <c r="A44" s="155">
        <v>5</v>
      </c>
      <c r="B44" s="152" t="s">
        <v>157</v>
      </c>
      <c r="D44" s="119">
        <f>[1]!CA0198CIP</f>
        <v>0</v>
      </c>
      <c r="E44" s="119"/>
      <c r="F44" s="32">
        <v>5</v>
      </c>
      <c r="G44" s="304"/>
      <c r="H44" s="303"/>
      <c r="I44" s="18"/>
      <c r="J44" s="18"/>
      <c r="K44" s="18"/>
      <c r="L44" s="18"/>
      <c r="M44" s="18"/>
      <c r="N44" s="158"/>
      <c r="O44" s="304"/>
      <c r="P44" s="18"/>
    </row>
    <row r="45" spans="1:16" ht="12" customHeight="1" thickBot="1">
      <c r="A45" s="268">
        <v>6</v>
      </c>
      <c r="B45" s="152" t="s">
        <v>158</v>
      </c>
      <c r="D45" s="150">
        <f>SUM(D40:D44)</f>
        <v>85400</v>
      </c>
      <c r="E45" s="150">
        <f>SUM(E40:E44)</f>
        <v>8000</v>
      </c>
      <c r="F45" s="32">
        <v>6</v>
      </c>
      <c r="H45" s="303"/>
      <c r="I45" s="37"/>
      <c r="J45" s="37"/>
      <c r="K45" s="37"/>
      <c r="L45" s="37"/>
      <c r="M45" s="37"/>
      <c r="N45" s="301"/>
      <c r="O45" s="18"/>
      <c r="P45" s="18"/>
    </row>
    <row r="46" spans="8:16" ht="6" customHeight="1" thickTop="1">
      <c r="H46" s="18"/>
      <c r="I46" s="18"/>
      <c r="J46" s="18"/>
      <c r="K46" s="18"/>
      <c r="L46" s="18"/>
      <c r="M46" s="18"/>
      <c r="N46" s="18"/>
      <c r="O46" s="18"/>
      <c r="P46" s="18"/>
    </row>
    <row r="47" spans="1:16" ht="27" customHeight="1">
      <c r="A47" s="233">
        <v>7</v>
      </c>
      <c r="B47" s="420" t="s">
        <v>217</v>
      </c>
      <c r="C47" s="421"/>
      <c r="D47" s="28">
        <f>[1]!CAK3Reading</f>
        <v>0</v>
      </c>
      <c r="E47" s="145"/>
      <c r="F47" s="32">
        <v>7</v>
      </c>
      <c r="H47" s="18"/>
      <c r="I47" s="37"/>
      <c r="J47" s="37"/>
      <c r="K47" s="37"/>
      <c r="L47" s="37"/>
      <c r="M47" s="37"/>
      <c r="N47" s="301"/>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97" r:id="rId4"/>
  <headerFooter>
    <oddFooter>&amp;L&amp;"Arial,Bold"Rev. 5/18&amp;C&amp;"Arial,Bold"FY 2019&amp;R&amp;"Arial,Bold"Page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G9" sqref="G9"/>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6" t="str">
        <f>Cover!D1</f>
        <v>North Phoenix Preparatory Academy</v>
      </c>
      <c r="E1" s="67"/>
      <c r="F1" s="68" t="s">
        <v>53</v>
      </c>
      <c r="G1" s="41" t="str">
        <f>Cover!M1</f>
        <v>Maricopa</v>
      </c>
      <c r="H1" s="99"/>
      <c r="I1" s="99"/>
      <c r="J1" s="99"/>
      <c r="K1" s="68" t="s">
        <v>89</v>
      </c>
      <c r="L1" s="257" t="str">
        <f>Cover!R1</f>
        <v>078584000</v>
      </c>
      <c r="M1" s="99"/>
    </row>
    <row r="2" spans="1:15" ht="3" customHeight="1">
      <c r="A2" s="69"/>
      <c r="B2" s="69"/>
      <c r="C2" s="69"/>
      <c r="D2" s="69"/>
      <c r="E2" s="69"/>
      <c r="F2" s="69"/>
      <c r="G2" s="69"/>
      <c r="H2" s="69"/>
      <c r="I2" s="69"/>
      <c r="J2" s="69"/>
      <c r="K2" s="69"/>
      <c r="L2" s="14"/>
      <c r="M2" s="14"/>
      <c r="N2" s="14"/>
      <c r="O2" s="14"/>
    </row>
    <row r="3" spans="1:15" ht="10.5" customHeight="1">
      <c r="A3" s="69"/>
      <c r="B3" s="69"/>
      <c r="C3" s="69"/>
      <c r="D3" s="69"/>
      <c r="E3" s="69"/>
      <c r="F3" s="69"/>
      <c r="G3" s="69"/>
      <c r="H3" s="69"/>
      <c r="I3" s="69"/>
      <c r="J3" s="69"/>
      <c r="K3" s="69"/>
      <c r="L3" s="14"/>
      <c r="M3" s="14"/>
      <c r="N3" s="14"/>
      <c r="O3" s="14"/>
    </row>
    <row r="4" spans="1:15" ht="10.5" customHeight="1">
      <c r="A4" s="100"/>
      <c r="B4" s="101"/>
      <c r="C4" s="101"/>
      <c r="D4" s="425"/>
      <c r="E4" s="74"/>
      <c r="F4" s="102"/>
      <c r="G4" s="95" t="s">
        <v>94</v>
      </c>
      <c r="H4" s="160" t="s">
        <v>14</v>
      </c>
      <c r="I4" s="76"/>
      <c r="J4" s="423" t="s">
        <v>61</v>
      </c>
      <c r="K4" s="424"/>
      <c r="L4" s="76" t="s">
        <v>63</v>
      </c>
      <c r="M4" s="14"/>
      <c r="N4" s="14"/>
      <c r="O4" s="14"/>
    </row>
    <row r="5" spans="1:12" ht="10.5" customHeight="1">
      <c r="A5" s="4" t="s">
        <v>92</v>
      </c>
      <c r="B5" s="14"/>
      <c r="C5" s="14"/>
      <c r="D5" s="414"/>
      <c r="E5" s="79"/>
      <c r="F5" s="82" t="s">
        <v>15</v>
      </c>
      <c r="G5" s="96" t="s">
        <v>16</v>
      </c>
      <c r="H5" s="159" t="s">
        <v>17</v>
      </c>
      <c r="I5" s="82" t="s">
        <v>18</v>
      </c>
      <c r="J5" s="274" t="s">
        <v>249</v>
      </c>
      <c r="K5" s="82" t="s">
        <v>55</v>
      </c>
      <c r="L5" s="82" t="s">
        <v>64</v>
      </c>
    </row>
    <row r="6" spans="1:12" ht="10.5" customHeight="1">
      <c r="A6" s="92"/>
      <c r="B6" s="31"/>
      <c r="C6" s="31"/>
      <c r="D6" s="31"/>
      <c r="E6" s="97"/>
      <c r="F6" s="85">
        <v>6100</v>
      </c>
      <c r="G6" s="98">
        <v>6200</v>
      </c>
      <c r="H6" s="159" t="s">
        <v>256</v>
      </c>
      <c r="I6" s="82">
        <v>6600</v>
      </c>
      <c r="J6" s="82">
        <v>2018</v>
      </c>
      <c r="K6" s="82">
        <v>2019</v>
      </c>
      <c r="L6" s="82" t="s">
        <v>65</v>
      </c>
    </row>
    <row r="7" spans="1:14" ht="10.5" customHeight="1">
      <c r="A7" s="264" t="s">
        <v>91</v>
      </c>
      <c r="B7" s="253"/>
      <c r="C7" s="253"/>
      <c r="D7" s="253"/>
      <c r="E7" s="14"/>
      <c r="F7" s="126"/>
      <c r="G7" s="128"/>
      <c r="H7" s="292"/>
      <c r="I7" s="292"/>
      <c r="J7" s="72"/>
      <c r="K7" s="1"/>
      <c r="L7" s="75"/>
      <c r="M7" s="19"/>
      <c r="N7" s="103"/>
    </row>
    <row r="8" spans="1:14" ht="10.5" customHeight="1">
      <c r="A8" s="86"/>
      <c r="B8" s="14" t="s">
        <v>21</v>
      </c>
      <c r="C8" s="14"/>
      <c r="D8" s="14"/>
      <c r="E8" s="3"/>
      <c r="F8" s="179"/>
      <c r="G8" s="169"/>
      <c r="H8" s="281"/>
      <c r="I8" s="281"/>
      <c r="J8" s="283"/>
      <c r="K8" s="176"/>
      <c r="L8" s="170"/>
      <c r="M8" s="19"/>
      <c r="N8" s="103"/>
    </row>
    <row r="9" spans="1:14" ht="10.5" customHeight="1">
      <c r="A9" s="86"/>
      <c r="B9" s="14"/>
      <c r="C9" s="14" t="s">
        <v>22</v>
      </c>
      <c r="D9" s="249"/>
      <c r="E9" s="3">
        <v>1</v>
      </c>
      <c r="F9" s="104">
        <f>0.2*247356</f>
        <v>49471.200000000004</v>
      </c>
      <c r="G9" s="166"/>
      <c r="H9" s="125"/>
      <c r="I9" s="125"/>
      <c r="J9" s="282">
        <f>[1]!CSP1011P100F1000</f>
        <v>34776</v>
      </c>
      <c r="K9" s="177">
        <f>SUM(F7:G9)</f>
        <v>49471.200000000004</v>
      </c>
      <c r="L9" s="165">
        <f>IF(J9=0," ",(K9-J9)/J9)</f>
        <v>0.4225672877846792</v>
      </c>
      <c r="M9" s="105" t="s">
        <v>43</v>
      </c>
      <c r="N9" s="103"/>
    </row>
    <row r="10" spans="1:14" ht="10.5" customHeight="1">
      <c r="A10" s="86"/>
      <c r="B10" s="14"/>
      <c r="C10" s="14" t="s">
        <v>95</v>
      </c>
      <c r="D10" s="14"/>
      <c r="E10" s="3">
        <v>2</v>
      </c>
      <c r="F10" s="104"/>
      <c r="G10" s="104"/>
      <c r="H10" s="125"/>
      <c r="I10" s="125"/>
      <c r="J10" s="33">
        <f>[1]!CSP1011P100F2100</f>
        <v>0</v>
      </c>
      <c r="K10" s="10">
        <f>SUM(F10:G10)</f>
        <v>0</v>
      </c>
      <c r="L10" s="12" t="str">
        <f>IF(J10=0," ",(K10-J10)/J10)</f>
        <v> </v>
      </c>
      <c r="M10" s="105" t="s">
        <v>44</v>
      </c>
      <c r="N10" s="103"/>
    </row>
    <row r="11" spans="1:14" ht="10.5" customHeight="1">
      <c r="A11" s="86"/>
      <c r="B11" s="14"/>
      <c r="C11" s="14" t="s">
        <v>159</v>
      </c>
      <c r="D11" s="14"/>
      <c r="E11" s="3">
        <v>3</v>
      </c>
      <c r="F11" s="104"/>
      <c r="G11" s="104"/>
      <c r="H11" s="125"/>
      <c r="I11" s="125"/>
      <c r="J11" s="33">
        <f>[1]!CSP1011P100F2200</f>
        <v>0</v>
      </c>
      <c r="K11" s="10">
        <f>SUM(F11:G11)</f>
        <v>0</v>
      </c>
      <c r="L11" s="12" t="str">
        <f>IF(J11=0," ",(K11-J11)/J11)</f>
        <v> </v>
      </c>
      <c r="M11" s="105" t="s">
        <v>105</v>
      </c>
      <c r="N11" s="103"/>
    </row>
    <row r="12" spans="1:13" ht="10.5" customHeight="1">
      <c r="A12" s="92"/>
      <c r="B12" s="31" t="s">
        <v>96</v>
      </c>
      <c r="C12" s="31"/>
      <c r="D12" s="31"/>
      <c r="E12" s="5">
        <v>4</v>
      </c>
      <c r="F12" s="106">
        <f>SUM(F7:F11)</f>
        <v>49471.200000000004</v>
      </c>
      <c r="G12" s="106">
        <f>SUM(G7:G11)</f>
        <v>0</v>
      </c>
      <c r="H12" s="293"/>
      <c r="I12" s="293"/>
      <c r="J12" s="174">
        <f>SUM(J8:J11)</f>
        <v>34776</v>
      </c>
      <c r="K12" s="174">
        <f>SUM(K8:K11)</f>
        <v>49471.200000000004</v>
      </c>
      <c r="L12" s="161">
        <f>IF(J12=0," ",(K12-J12)/J12)</f>
        <v>0.4225672877846792</v>
      </c>
      <c r="M12" s="107" t="s">
        <v>106</v>
      </c>
    </row>
    <row r="13" spans="1:14" ht="10.5" customHeight="1">
      <c r="A13" s="86"/>
      <c r="B13" s="14" t="s">
        <v>28</v>
      </c>
      <c r="C13" s="14"/>
      <c r="D13" s="14"/>
      <c r="E13" s="3"/>
      <c r="F13" s="171"/>
      <c r="G13" s="178"/>
      <c r="H13" s="292"/>
      <c r="I13" s="292"/>
      <c r="J13" s="72"/>
      <c r="K13" s="1"/>
      <c r="L13" s="75"/>
      <c r="M13" s="105"/>
      <c r="N13" s="103"/>
    </row>
    <row r="14" spans="1:14" ht="10.5" customHeight="1">
      <c r="A14" s="86"/>
      <c r="B14" s="14"/>
      <c r="C14" s="14" t="s">
        <v>22</v>
      </c>
      <c r="D14" s="14"/>
      <c r="E14" s="3">
        <v>5</v>
      </c>
      <c r="F14" s="109"/>
      <c r="G14" s="173"/>
      <c r="H14" s="125"/>
      <c r="I14" s="125"/>
      <c r="J14" s="282">
        <f>[1]!CSP1011P200F1000</f>
        <v>0</v>
      </c>
      <c r="K14" s="177">
        <f>SUM(F13:G14)</f>
        <v>0</v>
      </c>
      <c r="L14" s="165" t="str">
        <f>IF(J14=0," ",(K14-J14)/J14)</f>
        <v> </v>
      </c>
      <c r="M14" s="105" t="s">
        <v>107</v>
      </c>
      <c r="N14" s="103"/>
    </row>
    <row r="15" spans="1:14" ht="10.5" customHeight="1">
      <c r="A15" s="86"/>
      <c r="B15" s="14"/>
      <c r="C15" s="14" t="s">
        <v>95</v>
      </c>
      <c r="D15" s="14"/>
      <c r="E15" s="3">
        <v>6</v>
      </c>
      <c r="F15" s="8"/>
      <c r="G15" s="8"/>
      <c r="H15" s="125"/>
      <c r="I15" s="125"/>
      <c r="J15" s="33">
        <f>[1]!CSP1011P200F2100</f>
        <v>0</v>
      </c>
      <c r="K15" s="10">
        <f>SUM(F15:G15)</f>
        <v>0</v>
      </c>
      <c r="L15" s="12" t="str">
        <f>IF(J15=0," ",(K15-J15)/J15)</f>
        <v> </v>
      </c>
      <c r="M15" s="105" t="s">
        <v>108</v>
      </c>
      <c r="N15" s="103"/>
    </row>
    <row r="16" spans="1:14" ht="10.5" customHeight="1">
      <c r="A16" s="86"/>
      <c r="B16" s="14"/>
      <c r="C16" s="14" t="s">
        <v>159</v>
      </c>
      <c r="D16" s="14"/>
      <c r="E16" s="3">
        <v>7</v>
      </c>
      <c r="F16" s="8"/>
      <c r="G16" s="8"/>
      <c r="H16" s="125"/>
      <c r="I16" s="125"/>
      <c r="J16" s="8">
        <f>[1]!CSP1011P200F2200</f>
        <v>0</v>
      </c>
      <c r="K16" s="9">
        <f>SUM(F16:G16)</f>
        <v>0</v>
      </c>
      <c r="L16" s="12" t="str">
        <f>IF(J16=0," ",(K16-J16)/J16)</f>
        <v> </v>
      </c>
      <c r="M16" s="105" t="s">
        <v>109</v>
      </c>
      <c r="N16" s="103"/>
    </row>
    <row r="17" spans="1:14" ht="10.5" customHeight="1">
      <c r="A17" s="92"/>
      <c r="B17" s="31" t="s">
        <v>97</v>
      </c>
      <c r="C17" s="31"/>
      <c r="D17" s="31"/>
      <c r="E17" s="5">
        <v>8</v>
      </c>
      <c r="F17" s="9">
        <f>SUM(F13:F16)</f>
        <v>0</v>
      </c>
      <c r="G17" s="9">
        <f>SUM(G13:G16)</f>
        <v>0</v>
      </c>
      <c r="H17" s="281"/>
      <c r="I17" s="281"/>
      <c r="J17" s="175">
        <f>SUM(J14:J16)</f>
        <v>0</v>
      </c>
      <c r="K17" s="175">
        <f>SUM(K14:K16)</f>
        <v>0</v>
      </c>
      <c r="L17" s="161" t="str">
        <f>IF(J17=0," ",(K17-J17)/J17)</f>
        <v> </v>
      </c>
      <c r="M17" s="105" t="s">
        <v>110</v>
      </c>
      <c r="N17" s="103"/>
    </row>
    <row r="18" spans="1:13" ht="10.5" customHeight="1">
      <c r="A18" s="86"/>
      <c r="B18" s="108" t="s">
        <v>98</v>
      </c>
      <c r="C18" s="14"/>
      <c r="D18" s="14"/>
      <c r="E18" s="3"/>
      <c r="F18" s="171"/>
      <c r="G18" s="178"/>
      <c r="H18" s="292"/>
      <c r="I18" s="292"/>
      <c r="J18" s="72"/>
      <c r="K18" s="1"/>
      <c r="L18" s="75"/>
      <c r="M18" s="107"/>
    </row>
    <row r="19" spans="1:14" ht="10.5" customHeight="1">
      <c r="A19" s="86"/>
      <c r="B19" s="14"/>
      <c r="C19" s="14" t="s">
        <v>22</v>
      </c>
      <c r="D19" s="14"/>
      <c r="E19" s="3">
        <v>9</v>
      </c>
      <c r="F19" s="109"/>
      <c r="G19" s="173"/>
      <c r="H19" s="125"/>
      <c r="I19" s="125"/>
      <c r="J19" s="282">
        <f>[1]!CSP1011POtherF1000</f>
        <v>0</v>
      </c>
      <c r="K19" s="177">
        <f>SUM(F18:G19)</f>
        <v>0</v>
      </c>
      <c r="L19" s="165" t="str">
        <f>IF(J19=0," ",(K19-J19)/J19)</f>
        <v> </v>
      </c>
      <c r="M19" s="105" t="s">
        <v>111</v>
      </c>
      <c r="N19" s="103"/>
    </row>
    <row r="20" spans="1:14" ht="10.5" customHeight="1">
      <c r="A20" s="86"/>
      <c r="B20" s="14"/>
      <c r="C20" s="14" t="s">
        <v>95</v>
      </c>
      <c r="D20" s="14"/>
      <c r="E20" s="3">
        <v>10</v>
      </c>
      <c r="F20" s="8"/>
      <c r="G20" s="8"/>
      <c r="H20" s="125"/>
      <c r="I20" s="125"/>
      <c r="J20" s="33">
        <f>[1]!CSP1011POtherF2100</f>
        <v>0</v>
      </c>
      <c r="K20" s="10">
        <f>SUM(F20:G20)</f>
        <v>0</v>
      </c>
      <c r="L20" s="12" t="str">
        <f>IF(J20=0," ",(K20-J20)/J20)</f>
        <v> </v>
      </c>
      <c r="M20" s="105" t="s">
        <v>112</v>
      </c>
      <c r="N20" s="103"/>
    </row>
    <row r="21" spans="1:14" ht="10.5" customHeight="1">
      <c r="A21" s="86"/>
      <c r="B21" s="14"/>
      <c r="C21" s="14" t="s">
        <v>159</v>
      </c>
      <c r="D21" s="14"/>
      <c r="E21" s="3">
        <v>11</v>
      </c>
      <c r="F21" s="8"/>
      <c r="G21" s="8"/>
      <c r="H21" s="125"/>
      <c r="I21" s="125"/>
      <c r="J21" s="8">
        <f>[1]!CSP1011POtherF2200</f>
        <v>0</v>
      </c>
      <c r="K21" s="9">
        <f>SUM(F21:G21)</f>
        <v>0</v>
      </c>
      <c r="L21" s="12" t="str">
        <f>IF(J21=0," ",(K21-J21)/J21)</f>
        <v> </v>
      </c>
      <c r="M21" s="105" t="s">
        <v>113</v>
      </c>
      <c r="N21" s="103"/>
    </row>
    <row r="22" spans="1:14" ht="10.5" customHeight="1">
      <c r="A22" s="92"/>
      <c r="B22" s="31" t="s">
        <v>99</v>
      </c>
      <c r="C22" s="31"/>
      <c r="D22" s="31"/>
      <c r="E22" s="5">
        <v>12</v>
      </c>
      <c r="F22" s="9">
        <f>SUM(F18:F21)</f>
        <v>0</v>
      </c>
      <c r="G22" s="9">
        <f>SUM(G18:G21)</f>
        <v>0</v>
      </c>
      <c r="H22" s="125"/>
      <c r="I22" s="125"/>
      <c r="J22" s="9">
        <f>SUM(J19:J21)</f>
        <v>0</v>
      </c>
      <c r="K22" s="9">
        <f>SUM(K19:K21)</f>
        <v>0</v>
      </c>
      <c r="L22" s="12" t="str">
        <f>IF(J22=0," ",(K22-J22)/J22)</f>
        <v> </v>
      </c>
      <c r="M22" s="105" t="s">
        <v>114</v>
      </c>
      <c r="N22" s="103"/>
    </row>
    <row r="23" spans="1:14" ht="12.75" customHeight="1">
      <c r="A23" s="92" t="s">
        <v>100</v>
      </c>
      <c r="B23" s="31"/>
      <c r="C23" s="31"/>
      <c r="D23" s="31"/>
      <c r="E23" s="5">
        <v>13</v>
      </c>
      <c r="F23" s="9">
        <f>F12+F17+F22</f>
        <v>49471.200000000004</v>
      </c>
      <c r="G23" s="9">
        <f>G12+G17+G22</f>
        <v>0</v>
      </c>
      <c r="H23" s="281"/>
      <c r="I23" s="281"/>
      <c r="J23" s="9">
        <f>J12+J17+J22</f>
        <v>34776</v>
      </c>
      <c r="K23" s="9">
        <f>K12+K17+K22</f>
        <v>49471.200000000004</v>
      </c>
      <c r="L23" s="12">
        <f>IF(J23=0," ",(K23-J23)/J23)</f>
        <v>0.4225672877846792</v>
      </c>
      <c r="M23" s="105" t="s">
        <v>115</v>
      </c>
      <c r="N23" s="103"/>
    </row>
    <row r="24" spans="1:14" ht="10.5" customHeight="1">
      <c r="A24" s="264" t="s">
        <v>93</v>
      </c>
      <c r="B24" s="253"/>
      <c r="C24" s="253"/>
      <c r="D24" s="253"/>
      <c r="E24" s="14"/>
      <c r="F24" s="172"/>
      <c r="G24" s="176"/>
      <c r="H24" s="294"/>
      <c r="I24" s="292"/>
      <c r="J24" s="72"/>
      <c r="K24" s="1"/>
      <c r="L24" s="75"/>
      <c r="M24" s="105"/>
      <c r="N24" s="103"/>
    </row>
    <row r="25" spans="1:14" ht="10.5" customHeight="1">
      <c r="A25" s="86"/>
      <c r="B25" s="14" t="s">
        <v>21</v>
      </c>
      <c r="C25" s="14"/>
      <c r="D25" s="14"/>
      <c r="E25" s="3"/>
      <c r="F25" s="172"/>
      <c r="G25" s="176"/>
      <c r="H25" s="295"/>
      <c r="I25" s="281"/>
      <c r="J25" s="283"/>
      <c r="K25" s="176"/>
      <c r="L25" s="170"/>
      <c r="M25" s="105"/>
      <c r="N25" s="103"/>
    </row>
    <row r="26" spans="1:14" ht="10.5" customHeight="1">
      <c r="A26" s="86"/>
      <c r="B26" s="14"/>
      <c r="C26" s="14" t="s">
        <v>22</v>
      </c>
      <c r="D26" s="14"/>
      <c r="E26" s="3">
        <v>14</v>
      </c>
      <c r="F26" s="104">
        <f>0.4*247356</f>
        <v>98942.40000000001</v>
      </c>
      <c r="G26" s="173"/>
      <c r="H26" s="296"/>
      <c r="I26" s="125"/>
      <c r="J26" s="282">
        <f>[1]!CSP1012P100F1000</f>
        <v>69552</v>
      </c>
      <c r="K26" s="177">
        <f>SUM(F24:G26)</f>
        <v>98942.40000000001</v>
      </c>
      <c r="L26" s="12">
        <f>IF(J26=0," ",(K26-J26)/J26)</f>
        <v>0.4225672877846792</v>
      </c>
      <c r="M26" s="105" t="s">
        <v>116</v>
      </c>
      <c r="N26" s="103"/>
    </row>
    <row r="27" spans="1:14" ht="10.5" customHeight="1">
      <c r="A27" s="86"/>
      <c r="B27" s="14"/>
      <c r="C27" s="14" t="s">
        <v>95</v>
      </c>
      <c r="D27" s="14"/>
      <c r="E27" s="3">
        <v>15</v>
      </c>
      <c r="F27" s="109"/>
      <c r="G27" s="109"/>
      <c r="H27" s="125"/>
      <c r="I27" s="125"/>
      <c r="J27" s="33">
        <f>[1]!CSP1012P100F2100</f>
        <v>0</v>
      </c>
      <c r="K27" s="10">
        <f>SUM(F27:G27)</f>
        <v>0</v>
      </c>
      <c r="L27" s="12" t="str">
        <f>IF(J27=0," ",(K27-J27)/J27)</f>
        <v> </v>
      </c>
      <c r="M27" s="105" t="s">
        <v>117</v>
      </c>
      <c r="N27" s="103"/>
    </row>
    <row r="28" spans="1:14" ht="10.5" customHeight="1">
      <c r="A28" s="86"/>
      <c r="B28" s="14"/>
      <c r="C28" s="14" t="s">
        <v>159</v>
      </c>
      <c r="D28" s="14"/>
      <c r="E28" s="3">
        <v>16</v>
      </c>
      <c r="F28" s="109"/>
      <c r="G28" s="109"/>
      <c r="H28" s="125"/>
      <c r="I28" s="125"/>
      <c r="J28" s="8">
        <f>[1]!CSP1012P100F2200</f>
        <v>0</v>
      </c>
      <c r="K28" s="9">
        <f>SUM(F28:G28)</f>
        <v>0</v>
      </c>
      <c r="L28" s="12" t="str">
        <f>IF(J28=0," ",(K28-J28)/J28)</f>
        <v> </v>
      </c>
      <c r="M28" s="105" t="s">
        <v>118</v>
      </c>
      <c r="N28" s="103"/>
    </row>
    <row r="29" spans="1:13" ht="10.5" customHeight="1">
      <c r="A29" s="92"/>
      <c r="B29" s="31" t="s">
        <v>101</v>
      </c>
      <c r="C29" s="31"/>
      <c r="D29" s="31"/>
      <c r="E29" s="5">
        <v>17</v>
      </c>
      <c r="F29" s="110">
        <f>SUM(F24:F28)</f>
        <v>98942.40000000001</v>
      </c>
      <c r="G29" s="110">
        <f>SUM(G24:G28)</f>
        <v>0</v>
      </c>
      <c r="H29" s="281"/>
      <c r="I29" s="281"/>
      <c r="J29" s="175">
        <f>SUM(J25:J28)</f>
        <v>69552</v>
      </c>
      <c r="K29" s="175">
        <f>SUM(K25:K28)</f>
        <v>98942.40000000001</v>
      </c>
      <c r="L29" s="161">
        <f>IF(J29=0," ",(K29-J29)/J29)</f>
        <v>0.4225672877846792</v>
      </c>
      <c r="M29" s="107" t="s">
        <v>119</v>
      </c>
    </row>
    <row r="30" spans="1:14" ht="10.5" customHeight="1">
      <c r="A30" s="86"/>
      <c r="B30" s="14" t="s">
        <v>28</v>
      </c>
      <c r="C30" s="14"/>
      <c r="D30" s="14"/>
      <c r="E30" s="3"/>
      <c r="F30" s="171"/>
      <c r="G30" s="178"/>
      <c r="H30" s="294"/>
      <c r="I30" s="292"/>
      <c r="J30" s="72"/>
      <c r="K30" s="1"/>
      <c r="L30" s="75"/>
      <c r="M30" s="105"/>
      <c r="N30" s="103"/>
    </row>
    <row r="31" spans="1:14" ht="10.5" customHeight="1">
      <c r="A31" s="86"/>
      <c r="B31" s="14"/>
      <c r="C31" s="14" t="s">
        <v>22</v>
      </c>
      <c r="D31" s="14"/>
      <c r="E31" s="3">
        <v>18</v>
      </c>
      <c r="F31" s="109"/>
      <c r="G31" s="173"/>
      <c r="H31" s="296"/>
      <c r="I31" s="125"/>
      <c r="J31" s="282">
        <f>[1]!CSP1012P200F1000</f>
        <v>0</v>
      </c>
      <c r="K31" s="177">
        <f>SUM(F30:G31)</f>
        <v>0</v>
      </c>
      <c r="L31" s="165" t="str">
        <f>IF(J31=0," ",(K31-J31)/J31)</f>
        <v> </v>
      </c>
      <c r="M31" s="105" t="s">
        <v>120</v>
      </c>
      <c r="N31" s="103"/>
    </row>
    <row r="32" spans="1:14" ht="10.5" customHeight="1">
      <c r="A32" s="86"/>
      <c r="B32" s="14"/>
      <c r="C32" s="14" t="s">
        <v>95</v>
      </c>
      <c r="D32" s="14"/>
      <c r="E32" s="3">
        <v>19</v>
      </c>
      <c r="F32" s="8"/>
      <c r="G32" s="8"/>
      <c r="H32" s="125"/>
      <c r="I32" s="125"/>
      <c r="J32" s="33">
        <f>[1]!CSP1012P200F2100</f>
        <v>0</v>
      </c>
      <c r="K32" s="10">
        <f>SUM(F32:G32)</f>
        <v>0</v>
      </c>
      <c r="L32" s="12" t="str">
        <f>IF(J32=0," ",(K32-J32)/J32)</f>
        <v> </v>
      </c>
      <c r="M32" s="105" t="s">
        <v>121</v>
      </c>
      <c r="N32" s="103"/>
    </row>
    <row r="33" spans="1:14" ht="10.5" customHeight="1">
      <c r="A33" s="86"/>
      <c r="B33" s="14"/>
      <c r="C33" s="14" t="s">
        <v>159</v>
      </c>
      <c r="D33" s="14"/>
      <c r="E33" s="3">
        <v>20</v>
      </c>
      <c r="F33" s="8"/>
      <c r="G33" s="8"/>
      <c r="H33" s="125"/>
      <c r="I33" s="125"/>
      <c r="J33" s="8">
        <f>[1]!CSP1012P200F2200</f>
        <v>0</v>
      </c>
      <c r="K33" s="9">
        <f>SUM(F33:G33)</f>
        <v>0</v>
      </c>
      <c r="L33" s="12" t="str">
        <f>IF(J33=0," ",(K33-J33)/J33)</f>
        <v> </v>
      </c>
      <c r="M33" s="105" t="s">
        <v>122</v>
      </c>
      <c r="N33" s="103"/>
    </row>
    <row r="34" spans="1:14" ht="10.5" customHeight="1">
      <c r="A34" s="92"/>
      <c r="B34" s="31" t="s">
        <v>102</v>
      </c>
      <c r="C34" s="31"/>
      <c r="D34" s="31"/>
      <c r="E34" s="5">
        <v>21</v>
      </c>
      <c r="F34" s="9">
        <f>SUM(F30:F33)</f>
        <v>0</v>
      </c>
      <c r="G34" s="9">
        <f>SUM(G30:G33)</f>
        <v>0</v>
      </c>
      <c r="H34" s="281"/>
      <c r="I34" s="281"/>
      <c r="J34" s="175">
        <f>SUM(J31:J33)</f>
        <v>0</v>
      </c>
      <c r="K34" s="175">
        <f>SUM(K31:K33)</f>
        <v>0</v>
      </c>
      <c r="L34" s="161" t="str">
        <f>IF(J34=0," ",(K34-J34)/J34)</f>
        <v> </v>
      </c>
      <c r="M34" s="105" t="s">
        <v>123</v>
      </c>
      <c r="N34" s="103"/>
    </row>
    <row r="35" spans="1:13" ht="10.5" customHeight="1">
      <c r="A35" s="86"/>
      <c r="B35" s="108" t="s">
        <v>98</v>
      </c>
      <c r="C35" s="14"/>
      <c r="D35" s="14"/>
      <c r="E35" s="3"/>
      <c r="F35" s="171"/>
      <c r="G35" s="178"/>
      <c r="H35" s="294"/>
      <c r="I35" s="292"/>
      <c r="J35" s="72"/>
      <c r="K35" s="1"/>
      <c r="L35" s="75"/>
      <c r="M35" s="107"/>
    </row>
    <row r="36" spans="1:14" ht="10.5" customHeight="1">
      <c r="A36" s="86"/>
      <c r="B36" s="14"/>
      <c r="C36" s="14" t="s">
        <v>22</v>
      </c>
      <c r="D36" s="14"/>
      <c r="E36" s="3">
        <v>22</v>
      </c>
      <c r="F36" s="109"/>
      <c r="G36" s="173"/>
      <c r="H36" s="296"/>
      <c r="I36" s="125"/>
      <c r="J36" s="282">
        <f>[1]!CSP1012POtherF1000</f>
        <v>0</v>
      </c>
      <c r="K36" s="177">
        <f>SUM(F35:G36)</f>
        <v>0</v>
      </c>
      <c r="L36" s="165" t="str">
        <f>IF(J36=0," ",(K36-J36)/J36)</f>
        <v> </v>
      </c>
      <c r="M36" s="105" t="s">
        <v>124</v>
      </c>
      <c r="N36" s="103"/>
    </row>
    <row r="37" spans="1:14" ht="10.5" customHeight="1">
      <c r="A37" s="86"/>
      <c r="B37" s="14"/>
      <c r="C37" s="14" t="s">
        <v>95</v>
      </c>
      <c r="D37" s="14"/>
      <c r="E37" s="3">
        <v>23</v>
      </c>
      <c r="F37" s="8"/>
      <c r="G37" s="8"/>
      <c r="H37" s="125"/>
      <c r="I37" s="125"/>
      <c r="J37" s="33">
        <f>[1]!CSP1012POtherF2100</f>
        <v>0</v>
      </c>
      <c r="K37" s="10">
        <f>SUM(F37:G37)</f>
        <v>0</v>
      </c>
      <c r="L37" s="12" t="str">
        <f>IF(J37=0," ",(K37-J37)/J37)</f>
        <v> </v>
      </c>
      <c r="M37" s="105" t="s">
        <v>125</v>
      </c>
      <c r="N37" s="103"/>
    </row>
    <row r="38" spans="1:14" ht="10.5" customHeight="1">
      <c r="A38" s="86"/>
      <c r="B38" s="14"/>
      <c r="C38" s="14" t="s">
        <v>159</v>
      </c>
      <c r="D38" s="14"/>
      <c r="E38" s="3">
        <v>24</v>
      </c>
      <c r="F38" s="8"/>
      <c r="G38" s="8"/>
      <c r="H38" s="125"/>
      <c r="I38" s="125"/>
      <c r="J38" s="8">
        <f>[1]!CSP1012POtherF2200</f>
        <v>0</v>
      </c>
      <c r="K38" s="9">
        <f>SUM(F38:G38)</f>
        <v>0</v>
      </c>
      <c r="L38" s="12" t="str">
        <f>IF(J38=0," ",(K38-J38)/J38)</f>
        <v> </v>
      </c>
      <c r="M38" s="105" t="s">
        <v>126</v>
      </c>
      <c r="N38" s="103"/>
    </row>
    <row r="39" spans="1:14" ht="10.5" customHeight="1">
      <c r="A39" s="92"/>
      <c r="B39" s="31" t="s">
        <v>103</v>
      </c>
      <c r="C39" s="31"/>
      <c r="D39" s="31"/>
      <c r="E39" s="5">
        <v>25</v>
      </c>
      <c r="F39" s="9">
        <f>SUM(F35:F38)</f>
        <v>0</v>
      </c>
      <c r="G39" s="9">
        <f>SUM(G35:G38)</f>
        <v>0</v>
      </c>
      <c r="H39" s="125"/>
      <c r="I39" s="125"/>
      <c r="J39" s="9">
        <f>SUM(J36:J38)</f>
        <v>0</v>
      </c>
      <c r="K39" s="9">
        <f>SUM(K36:K38)</f>
        <v>0</v>
      </c>
      <c r="L39" s="12" t="str">
        <f>IF(J39=0," ",(K39-J39)/J39)</f>
        <v> </v>
      </c>
      <c r="M39" s="105" t="s">
        <v>127</v>
      </c>
      <c r="N39" s="103"/>
    </row>
    <row r="40" spans="1:14" ht="12.75" customHeight="1">
      <c r="A40" s="92" t="s">
        <v>104</v>
      </c>
      <c r="B40" s="31"/>
      <c r="C40" s="31"/>
      <c r="D40" s="31"/>
      <c r="E40" s="5">
        <v>26</v>
      </c>
      <c r="F40" s="10">
        <f>F29+F34+F39</f>
        <v>98942.40000000001</v>
      </c>
      <c r="G40" s="10">
        <f>G29+G34+G39</f>
        <v>0</v>
      </c>
      <c r="H40" s="125"/>
      <c r="I40" s="125"/>
      <c r="J40" s="10">
        <f>J29+J34+J39</f>
        <v>69552</v>
      </c>
      <c r="K40" s="10">
        <f>K29+K34+K39</f>
        <v>98942.40000000001</v>
      </c>
      <c r="L40" s="12">
        <f>IF(J40=0," ",(K40-J40)/J40)</f>
        <v>0.4225672877846792</v>
      </c>
      <c r="M40" s="105" t="s">
        <v>128</v>
      </c>
      <c r="N40" s="103"/>
    </row>
    <row r="41" spans="1:15" ht="10.5" customHeight="1">
      <c r="A41" s="264" t="s">
        <v>90</v>
      </c>
      <c r="B41" s="253"/>
      <c r="C41" s="253"/>
      <c r="D41" s="253"/>
      <c r="E41" s="3"/>
      <c r="F41" s="126"/>
      <c r="G41" s="126"/>
      <c r="H41" s="126"/>
      <c r="I41" s="128"/>
      <c r="J41" s="75"/>
      <c r="K41" s="75"/>
      <c r="L41" s="75"/>
      <c r="M41" s="2"/>
      <c r="N41" s="7"/>
      <c r="O41" s="11"/>
    </row>
    <row r="42" spans="1:15" ht="10.5" customHeight="1">
      <c r="A42" s="86"/>
      <c r="B42" s="14" t="s">
        <v>21</v>
      </c>
      <c r="C42" s="14"/>
      <c r="D42" s="14"/>
      <c r="E42" s="14"/>
      <c r="F42" s="179"/>
      <c r="G42" s="179"/>
      <c r="H42" s="179"/>
      <c r="I42" s="169"/>
      <c r="J42" s="179"/>
      <c r="K42" s="179"/>
      <c r="L42" s="170"/>
      <c r="M42" s="14"/>
      <c r="N42" s="7"/>
      <c r="O42" s="11"/>
    </row>
    <row r="43" spans="1:14" ht="10.5" customHeight="1">
      <c r="A43" s="86"/>
      <c r="C43" s="14" t="s">
        <v>22</v>
      </c>
      <c r="D43" s="14"/>
      <c r="E43" s="3">
        <v>27</v>
      </c>
      <c r="F43" s="104">
        <f>0.4*247356</f>
        <v>98942.40000000001</v>
      </c>
      <c r="G43" s="104"/>
      <c r="H43" s="104"/>
      <c r="I43" s="166"/>
      <c r="J43" s="104">
        <f>[1]!CSP1013P100F1000</f>
        <v>69552</v>
      </c>
      <c r="K43" s="106">
        <f>SUM(F43:I43)</f>
        <v>98942.40000000001</v>
      </c>
      <c r="L43" s="165">
        <f>IF(J43=0," ",(K43-J43)/J43)</f>
        <v>0.4225672877846792</v>
      </c>
      <c r="M43" s="2">
        <v>27</v>
      </c>
      <c r="N43" s="2"/>
    </row>
    <row r="44" spans="1:13" ht="10.5" customHeight="1">
      <c r="A44" s="86"/>
      <c r="C44" s="14" t="s">
        <v>160</v>
      </c>
      <c r="D44" s="14"/>
      <c r="E44" s="3">
        <v>28</v>
      </c>
      <c r="F44" s="142"/>
      <c r="G44" s="104"/>
      <c r="H44" s="104"/>
      <c r="I44" s="104"/>
      <c r="J44" s="26">
        <f>[1]!CSP1013P100F2100</f>
        <v>0</v>
      </c>
      <c r="K44" s="130">
        <f>SUM(F44:I44)</f>
        <v>0</v>
      </c>
      <c r="L44" s="131" t="str">
        <f>IF(J44=0," ",(K44-J44)/J44)</f>
        <v> </v>
      </c>
      <c r="M44" s="89">
        <v>28</v>
      </c>
    </row>
    <row r="45" spans="1:13" ht="10.5" customHeight="1">
      <c r="A45" s="86"/>
      <c r="C45" s="14" t="s">
        <v>159</v>
      </c>
      <c r="D45" s="14"/>
      <c r="E45" s="3">
        <v>29</v>
      </c>
      <c r="F45" s="143"/>
      <c r="G45" s="25"/>
      <c r="H45" s="25"/>
      <c r="I45" s="25"/>
      <c r="J45" s="26">
        <f>[1]!CSP1013P100F2200</f>
        <v>0</v>
      </c>
      <c r="K45" s="20">
        <f>SUM(F45:I45)</f>
        <v>0</v>
      </c>
      <c r="L45" s="129" t="str">
        <f>IF(J45=0," ",(K45-J45)/J45)</f>
        <v> </v>
      </c>
      <c r="M45" s="89">
        <v>29</v>
      </c>
    </row>
    <row r="46" spans="1:13" ht="10.5" customHeight="1">
      <c r="A46" s="92"/>
      <c r="B46" s="135" t="s">
        <v>257</v>
      </c>
      <c r="C46" s="31"/>
      <c r="D46" s="31"/>
      <c r="E46" s="23">
        <v>30</v>
      </c>
      <c r="F46" s="29">
        <f>SUM(F41:F45)</f>
        <v>98942.40000000001</v>
      </c>
      <c r="G46" s="6">
        <f>SUM(G41:G45)</f>
        <v>0</v>
      </c>
      <c r="H46" s="6">
        <f>SUM(H41:H45)</f>
        <v>0</v>
      </c>
      <c r="I46" s="6">
        <f>SUM(I41:I45)</f>
        <v>0</v>
      </c>
      <c r="J46" s="162">
        <f>SUM(J42:J45)</f>
        <v>69552</v>
      </c>
      <c r="K46" s="162">
        <f>SUM(F46:I46)</f>
        <v>98942.40000000001</v>
      </c>
      <c r="L46" s="161">
        <f>IF(J46=0," ",(K46-J46)/J46)</f>
        <v>0.4225672877846792</v>
      </c>
      <c r="M46" s="89">
        <v>30</v>
      </c>
    </row>
    <row r="47" spans="1:13" ht="10.5" customHeight="1">
      <c r="A47" s="1"/>
      <c r="B47" s="14" t="s">
        <v>28</v>
      </c>
      <c r="C47" s="14"/>
      <c r="D47" s="14"/>
      <c r="E47" s="3"/>
      <c r="F47" s="126"/>
      <c r="G47" s="126"/>
      <c r="H47" s="126"/>
      <c r="I47" s="128"/>
      <c r="J47" s="75"/>
      <c r="K47" s="75"/>
      <c r="L47" s="75"/>
      <c r="M47" s="2"/>
    </row>
    <row r="48" spans="1:13" ht="10.5" customHeight="1">
      <c r="A48" s="86"/>
      <c r="C48" s="14" t="s">
        <v>22</v>
      </c>
      <c r="D48" s="14"/>
      <c r="E48" s="3">
        <v>31</v>
      </c>
      <c r="F48" s="104"/>
      <c r="G48" s="104"/>
      <c r="H48" s="104"/>
      <c r="I48" s="166"/>
      <c r="J48" s="104">
        <f>[1]!CSP1013P200F1000</f>
        <v>0</v>
      </c>
      <c r="K48" s="106">
        <f>SUM(F48:I48)</f>
        <v>0</v>
      </c>
      <c r="L48" s="165" t="str">
        <f>IF(J48=0," ",(K48-J48)/J48)</f>
        <v> </v>
      </c>
      <c r="M48" s="2">
        <v>31</v>
      </c>
    </row>
    <row r="49" spans="1:13" ht="10.5" customHeight="1">
      <c r="A49" s="86"/>
      <c r="C49" s="14" t="s">
        <v>160</v>
      </c>
      <c r="D49" s="14"/>
      <c r="E49" s="21">
        <v>32</v>
      </c>
      <c r="F49" s="142"/>
      <c r="G49" s="104"/>
      <c r="H49" s="104"/>
      <c r="I49" s="104"/>
      <c r="J49" s="104">
        <f>[1]!CSP1013P200F2100</f>
        <v>0</v>
      </c>
      <c r="K49" s="126">
        <f>SUM(F49:I49)</f>
        <v>0</v>
      </c>
      <c r="L49" s="127" t="str">
        <f>IF(J49=0," ",(K49-J49)/J49)</f>
        <v> </v>
      </c>
      <c r="M49" s="89">
        <v>32</v>
      </c>
    </row>
    <row r="50" spans="1:13" ht="10.5" customHeight="1">
      <c r="A50" s="86"/>
      <c r="C50" s="14" t="s">
        <v>159</v>
      </c>
      <c r="D50" s="14"/>
      <c r="E50" s="21">
        <v>33</v>
      </c>
      <c r="F50" s="143"/>
      <c r="G50" s="25"/>
      <c r="H50" s="25"/>
      <c r="I50" s="25"/>
      <c r="J50" s="26">
        <f>[1]!CSP1013P200F2200</f>
        <v>0</v>
      </c>
      <c r="K50" s="20">
        <f>SUM(F50:I50)</f>
        <v>0</v>
      </c>
      <c r="L50" s="129" t="str">
        <f aca="true" t="shared" si="0" ref="L50:L59">IF(J50=0," ",(K50-J50)/J50)</f>
        <v> </v>
      </c>
      <c r="M50" s="89">
        <v>33</v>
      </c>
    </row>
    <row r="51" spans="1:13" ht="10.5" customHeight="1">
      <c r="A51" s="92"/>
      <c r="B51" s="135" t="s">
        <v>258</v>
      </c>
      <c r="C51" s="31"/>
      <c r="D51" s="31"/>
      <c r="E51" s="23">
        <v>34</v>
      </c>
      <c r="F51" s="29">
        <f>SUM(F47:F50)</f>
        <v>0</v>
      </c>
      <c r="G51" s="6">
        <f>SUM(G47:G50)</f>
        <v>0</v>
      </c>
      <c r="H51" s="6">
        <f>SUM(H47:H50)</f>
        <v>0</v>
      </c>
      <c r="I51" s="6">
        <f>SUM(I47:I50)</f>
        <v>0</v>
      </c>
      <c r="J51" s="162">
        <f>SUM(J48:J50)</f>
        <v>0</v>
      </c>
      <c r="K51" s="162">
        <f>SUM(F51:I51)</f>
        <v>0</v>
      </c>
      <c r="L51" s="161" t="str">
        <f t="shared" si="0"/>
        <v> </v>
      </c>
      <c r="M51" s="89">
        <v>34</v>
      </c>
    </row>
    <row r="52" spans="1:13" ht="10.5" customHeight="1">
      <c r="A52" s="1"/>
      <c r="B52" s="71" t="s">
        <v>130</v>
      </c>
      <c r="C52" s="71"/>
      <c r="D52" s="71"/>
      <c r="E52" s="24"/>
      <c r="F52" s="126"/>
      <c r="G52" s="126"/>
      <c r="H52" s="126"/>
      <c r="I52" s="128"/>
      <c r="J52" s="75"/>
      <c r="K52" s="75"/>
      <c r="L52" s="75"/>
      <c r="M52" s="2"/>
    </row>
    <row r="53" spans="1:13" ht="10.5" customHeight="1">
      <c r="A53" s="92"/>
      <c r="B53" s="31"/>
      <c r="C53" s="31" t="s">
        <v>22</v>
      </c>
      <c r="D53" s="31"/>
      <c r="E53" s="23">
        <v>35</v>
      </c>
      <c r="F53" s="104"/>
      <c r="G53" s="104"/>
      <c r="H53" s="104"/>
      <c r="I53" s="166"/>
      <c r="J53" s="104">
        <f>[1]!CSP1013P530F1000</f>
        <v>0</v>
      </c>
      <c r="K53" s="106">
        <f>SUM(F53:I53)</f>
        <v>0</v>
      </c>
      <c r="L53" s="165" t="str">
        <f>IF(J53=0," ",(K53-J53)/J53)</f>
        <v> </v>
      </c>
      <c r="M53" s="2">
        <v>35</v>
      </c>
    </row>
    <row r="54" spans="1:13" ht="10.5" customHeight="1">
      <c r="A54" s="1"/>
      <c r="B54" s="124" t="s">
        <v>98</v>
      </c>
      <c r="C54" s="14"/>
      <c r="D54" s="14"/>
      <c r="E54" s="21"/>
      <c r="F54" s="126"/>
      <c r="G54" s="126"/>
      <c r="H54" s="126"/>
      <c r="I54" s="128"/>
      <c r="J54" s="75"/>
      <c r="K54" s="75"/>
      <c r="L54" s="75"/>
      <c r="M54" s="2"/>
    </row>
    <row r="55" spans="1:13" ht="10.5" customHeight="1">
      <c r="A55" s="86"/>
      <c r="C55" s="14" t="s">
        <v>22</v>
      </c>
      <c r="D55" s="14"/>
      <c r="E55" s="3">
        <v>36</v>
      </c>
      <c r="F55" s="104"/>
      <c r="G55" s="104"/>
      <c r="H55" s="104"/>
      <c r="I55" s="166"/>
      <c r="J55" s="104">
        <f>[1]!CSP1013POtherF1000</f>
        <v>0</v>
      </c>
      <c r="K55" s="106">
        <f>SUM(F55:I55)</f>
        <v>0</v>
      </c>
      <c r="L55" s="165" t="str">
        <f>IF(J55=0," ",(K55-J55)/J55)</f>
        <v> </v>
      </c>
      <c r="M55" s="2">
        <v>36</v>
      </c>
    </row>
    <row r="56" spans="1:13" ht="10.5" customHeight="1">
      <c r="A56" s="86"/>
      <c r="C56" s="136" t="s">
        <v>180</v>
      </c>
      <c r="D56" s="14"/>
      <c r="E56" s="3">
        <v>37</v>
      </c>
      <c r="F56" s="143"/>
      <c r="G56" s="25"/>
      <c r="H56" s="25"/>
      <c r="I56" s="25"/>
      <c r="J56" s="25">
        <f>[1]!CSP1013POtherF21002200</f>
        <v>0</v>
      </c>
      <c r="K56" s="6">
        <f>SUM(F56:I56)</f>
        <v>0</v>
      </c>
      <c r="L56" s="12" t="str">
        <f t="shared" si="0"/>
        <v> </v>
      </c>
      <c r="M56" s="89">
        <v>37</v>
      </c>
    </row>
    <row r="57" spans="1:13" ht="10.5" customHeight="1">
      <c r="A57" s="86"/>
      <c r="B57" s="136" t="s">
        <v>259</v>
      </c>
      <c r="C57" s="31"/>
      <c r="D57" s="31"/>
      <c r="E57" s="23">
        <v>38</v>
      </c>
      <c r="F57" s="29">
        <f>SUM(F54:F56)</f>
        <v>0</v>
      </c>
      <c r="G57" s="6">
        <f>SUM(G54:G56)</f>
        <v>0</v>
      </c>
      <c r="H57" s="6">
        <f>SUM(H54:H56)</f>
        <v>0</v>
      </c>
      <c r="I57" s="6">
        <f>SUM(I54:I56)</f>
        <v>0</v>
      </c>
      <c r="J57" s="6">
        <f>SUM(J55:J56)</f>
        <v>0</v>
      </c>
      <c r="K57" s="6">
        <f>SUM(F57:I57)</f>
        <v>0</v>
      </c>
      <c r="L57" s="12" t="str">
        <f t="shared" si="0"/>
        <v> </v>
      </c>
      <c r="M57" s="89">
        <v>38</v>
      </c>
    </row>
    <row r="58" spans="1:13" ht="12.75" customHeight="1">
      <c r="A58" s="137" t="s">
        <v>260</v>
      </c>
      <c r="B58" s="94"/>
      <c r="C58" s="31"/>
      <c r="D58" s="94"/>
      <c r="E58" s="22">
        <v>39</v>
      </c>
      <c r="F58" s="29">
        <f>F46+F51+F52+F53+F57</f>
        <v>98942.40000000001</v>
      </c>
      <c r="G58" s="6">
        <f>G46+G51+G52+G53+G57</f>
        <v>0</v>
      </c>
      <c r="H58" s="6">
        <f>H46+H51+H52+H53+H57</f>
        <v>0</v>
      </c>
      <c r="I58" s="6">
        <f>I46+I51+I52+I53+I57</f>
        <v>0</v>
      </c>
      <c r="J58" s="6">
        <f>J46+J51+J53+J57</f>
        <v>69552</v>
      </c>
      <c r="K58" s="6">
        <f>K46+K51+K53+K57</f>
        <v>98942.40000000001</v>
      </c>
      <c r="L58" s="12">
        <f t="shared" si="0"/>
        <v>0.4225672877846792</v>
      </c>
      <c r="M58" s="89">
        <v>39</v>
      </c>
    </row>
    <row r="59" spans="1:13" ht="12.75">
      <c r="A59" s="137" t="s">
        <v>261</v>
      </c>
      <c r="B59" s="94"/>
      <c r="C59" s="94"/>
      <c r="D59" s="94"/>
      <c r="E59" s="22">
        <v>40</v>
      </c>
      <c r="F59" s="29">
        <f>F23+F40+F58</f>
        <v>247356</v>
      </c>
      <c r="G59" s="29">
        <f>G23+G40+G58</f>
        <v>0</v>
      </c>
      <c r="H59" s="30">
        <f>H58</f>
        <v>0</v>
      </c>
      <c r="I59" s="30">
        <f>I58</f>
        <v>0</v>
      </c>
      <c r="J59" s="30">
        <f>J23+J40+J58</f>
        <v>173880</v>
      </c>
      <c r="K59" s="29">
        <f>SUM(F59:I59)</f>
        <v>247356</v>
      </c>
      <c r="L59" s="12">
        <f t="shared" si="0"/>
        <v>0.4225672877846791</v>
      </c>
      <c r="M59" s="89">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5/18&amp;C&amp;"Arial,Bold"FY 2019&amp;R&amp;"Arial,Bold"Page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F9" sqref="F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426" t="str">
        <f>Cover!D1</f>
        <v>North Phoenix Preparatory Academy</v>
      </c>
      <c r="E1" s="426"/>
      <c r="F1" s="426"/>
      <c r="G1" s="67"/>
      <c r="H1" s="17"/>
      <c r="I1" s="68" t="s">
        <v>53</v>
      </c>
      <c r="J1" s="413" t="str">
        <f>Cover!M1</f>
        <v>Maricopa</v>
      </c>
      <c r="K1" s="413"/>
      <c r="L1" s="17"/>
      <c r="M1" s="68" t="s">
        <v>89</v>
      </c>
      <c r="N1" s="413" t="str">
        <f>Cover!R1</f>
        <v>078584000</v>
      </c>
      <c r="O1" s="413"/>
      <c r="P1" s="17"/>
    </row>
    <row r="2" spans="1:16" ht="12.75">
      <c r="A2" s="69"/>
      <c r="B2" s="69"/>
      <c r="C2" s="250"/>
      <c r="D2" s="69"/>
      <c r="E2" s="69"/>
      <c r="F2" s="69"/>
      <c r="G2" s="69"/>
      <c r="H2" s="69"/>
      <c r="I2" s="69"/>
      <c r="J2" s="69"/>
      <c r="K2" s="14"/>
      <c r="L2" s="14"/>
      <c r="M2" s="14"/>
      <c r="N2" s="14"/>
      <c r="O2" s="17"/>
      <c r="P2" s="17"/>
    </row>
    <row r="3" spans="1:16" ht="12.75">
      <c r="A3" s="70"/>
      <c r="B3" s="71"/>
      <c r="C3" s="71"/>
      <c r="D3" s="425"/>
      <c r="E3" s="72"/>
      <c r="F3" s="73" t="s">
        <v>141</v>
      </c>
      <c r="G3" s="74"/>
      <c r="H3" s="75"/>
      <c r="I3" s="75"/>
      <c r="J3" s="76" t="s">
        <v>14</v>
      </c>
      <c r="K3" s="1"/>
      <c r="L3" s="1"/>
      <c r="M3" s="77" t="s">
        <v>61</v>
      </c>
      <c r="N3" s="78"/>
      <c r="O3" s="75"/>
      <c r="P3" s="17"/>
    </row>
    <row r="4" spans="1:16" ht="12.75">
      <c r="A4" s="4"/>
      <c r="B4" s="14"/>
      <c r="C4" s="14"/>
      <c r="D4" s="414"/>
      <c r="E4" s="79"/>
      <c r="F4" s="80" t="s">
        <v>139</v>
      </c>
      <c r="G4" s="81"/>
      <c r="H4" s="82"/>
      <c r="I4" s="82" t="s">
        <v>140</v>
      </c>
      <c r="J4" s="82" t="s">
        <v>17</v>
      </c>
      <c r="K4" s="83"/>
      <c r="L4" s="83"/>
      <c r="M4" s="83"/>
      <c r="N4" s="83"/>
      <c r="O4" s="82" t="s">
        <v>63</v>
      </c>
      <c r="P4" s="17"/>
    </row>
    <row r="5" spans="1:16" ht="12.75">
      <c r="A5" s="4" t="s">
        <v>92</v>
      </c>
      <c r="B5" s="14"/>
      <c r="C5" s="14"/>
      <c r="D5" s="14"/>
      <c r="E5" s="79"/>
      <c r="F5" s="275" t="s">
        <v>248</v>
      </c>
      <c r="G5" s="76" t="s">
        <v>62</v>
      </c>
      <c r="H5" s="82" t="s">
        <v>15</v>
      </c>
      <c r="I5" s="82" t="s">
        <v>16</v>
      </c>
      <c r="J5" s="82" t="s">
        <v>20</v>
      </c>
      <c r="K5" s="82" t="s">
        <v>18</v>
      </c>
      <c r="L5" s="82" t="s">
        <v>19</v>
      </c>
      <c r="M5" s="274" t="s">
        <v>249</v>
      </c>
      <c r="N5" s="82" t="s">
        <v>55</v>
      </c>
      <c r="O5" s="82" t="s">
        <v>64</v>
      </c>
      <c r="P5" s="17"/>
    </row>
    <row r="6" spans="1:16" ht="12.75">
      <c r="A6" s="84"/>
      <c r="B6" s="31"/>
      <c r="C6" s="31"/>
      <c r="D6" s="31"/>
      <c r="E6" s="23"/>
      <c r="F6" s="82" t="s">
        <v>54</v>
      </c>
      <c r="G6" s="85" t="s">
        <v>54</v>
      </c>
      <c r="H6" s="85">
        <v>6100</v>
      </c>
      <c r="I6" s="85">
        <v>6200</v>
      </c>
      <c r="J6" s="85">
        <v>6500</v>
      </c>
      <c r="K6" s="85">
        <v>6600</v>
      </c>
      <c r="L6" s="85">
        <v>6800</v>
      </c>
      <c r="M6" s="82">
        <v>2018</v>
      </c>
      <c r="N6" s="82">
        <v>2019</v>
      </c>
      <c r="O6" s="82" t="s">
        <v>65</v>
      </c>
      <c r="P6" s="17"/>
    </row>
    <row r="7" spans="1:16" ht="12.75">
      <c r="A7" s="265" t="s">
        <v>168</v>
      </c>
      <c r="B7" s="252"/>
      <c r="C7" s="252"/>
      <c r="D7" s="252"/>
      <c r="E7" s="182"/>
      <c r="F7" s="184"/>
      <c r="G7" s="185"/>
      <c r="H7" s="126"/>
      <c r="I7" s="126"/>
      <c r="J7" s="126"/>
      <c r="K7" s="126"/>
      <c r="L7" s="128"/>
      <c r="M7" s="184"/>
      <c r="N7" s="184"/>
      <c r="O7" s="184"/>
      <c r="P7" s="17"/>
    </row>
    <row r="8" spans="1:16" ht="12.75">
      <c r="A8" s="86"/>
      <c r="B8" s="14" t="s">
        <v>167</v>
      </c>
      <c r="C8" s="14"/>
      <c r="D8" s="14"/>
      <c r="E8" s="3"/>
      <c r="F8" s="186"/>
      <c r="G8" s="187"/>
      <c r="H8" s="179"/>
      <c r="I8" s="179"/>
      <c r="J8" s="179"/>
      <c r="K8" s="179"/>
      <c r="L8" s="169"/>
      <c r="M8" s="179"/>
      <c r="N8" s="179"/>
      <c r="O8" s="170"/>
      <c r="P8" s="17"/>
    </row>
    <row r="9" spans="1:16" ht="12.75">
      <c r="A9" s="86"/>
      <c r="B9" s="17"/>
      <c r="C9" s="14" t="s">
        <v>22</v>
      </c>
      <c r="D9" s="14"/>
      <c r="E9" s="3">
        <v>1</v>
      </c>
      <c r="F9" s="141">
        <f>[1]!SEIP1071P260F1000PPL</f>
        <v>0</v>
      </c>
      <c r="G9" s="183"/>
      <c r="H9" s="104"/>
      <c r="I9" s="104"/>
      <c r="J9" s="104"/>
      <c r="K9" s="104"/>
      <c r="L9" s="166"/>
      <c r="M9" s="104">
        <f>[1]!SEIP1071P260F1000</f>
        <v>0</v>
      </c>
      <c r="N9" s="106">
        <f>SUM(H7:L9)</f>
        <v>0</v>
      </c>
      <c r="O9" s="165" t="str">
        <f>IF(M9=0," ",(N9-M9)/M9)</f>
        <v> </v>
      </c>
      <c r="P9" s="2">
        <v>1</v>
      </c>
    </row>
    <row r="10" spans="1:16" ht="12.75">
      <c r="A10" s="86"/>
      <c r="B10" s="17"/>
      <c r="C10" s="14" t="s">
        <v>23</v>
      </c>
      <c r="D10" s="14"/>
      <c r="E10" s="3"/>
      <c r="F10" s="184"/>
      <c r="G10" s="185"/>
      <c r="H10" s="126"/>
      <c r="I10" s="126"/>
      <c r="J10" s="126"/>
      <c r="K10" s="126"/>
      <c r="L10" s="128"/>
      <c r="M10" s="184"/>
      <c r="N10" s="184"/>
      <c r="O10" s="184"/>
      <c r="P10" s="2"/>
    </row>
    <row r="11" spans="1:16" ht="12.75">
      <c r="A11" s="86"/>
      <c r="B11" s="14"/>
      <c r="C11" s="14" t="s">
        <v>161</v>
      </c>
      <c r="D11" s="14"/>
      <c r="E11" s="3">
        <v>2</v>
      </c>
      <c r="F11" s="141">
        <f>[1]!SEIP1071P260F2100PPL</f>
        <v>0</v>
      </c>
      <c r="G11" s="183"/>
      <c r="H11" s="104"/>
      <c r="I11" s="104"/>
      <c r="J11" s="104"/>
      <c r="K11" s="104"/>
      <c r="L11" s="166"/>
      <c r="M11" s="104">
        <f>[1]!SEIP1071P260F2100</f>
        <v>0</v>
      </c>
      <c r="N11" s="106">
        <f>SUM(H10:L11)</f>
        <v>0</v>
      </c>
      <c r="O11" s="165" t="str">
        <f>IF(M11=0," ",(N11-M11)/M11)</f>
        <v> </v>
      </c>
      <c r="P11" s="2">
        <v>2</v>
      </c>
    </row>
    <row r="12" spans="1:16" ht="12.75">
      <c r="A12" s="86"/>
      <c r="B12" s="14"/>
      <c r="C12" s="14" t="s">
        <v>164</v>
      </c>
      <c r="D12" s="14"/>
      <c r="E12" s="21">
        <v>3</v>
      </c>
      <c r="F12" s="141">
        <f>[1]!SEIP1071P260F2200PPL</f>
        <v>0</v>
      </c>
      <c r="G12" s="132"/>
      <c r="H12" s="133"/>
      <c r="I12" s="133"/>
      <c r="J12" s="133"/>
      <c r="K12" s="133"/>
      <c r="L12" s="133"/>
      <c r="M12" s="34">
        <f>[1]!SEIP1071P260F2200</f>
        <v>0</v>
      </c>
      <c r="N12" s="6">
        <f aca="true" t="shared" si="0" ref="N12:N17">SUM(H12:L12)</f>
        <v>0</v>
      </c>
      <c r="O12" s="164" t="str">
        <f aca="true" t="shared" si="1" ref="O12:O18">IF(M12=0," ",(N12-M12)/M12)</f>
        <v> </v>
      </c>
      <c r="P12" s="89">
        <v>3</v>
      </c>
    </row>
    <row r="13" spans="1:16" ht="12.75">
      <c r="A13" s="86"/>
      <c r="B13" s="14"/>
      <c r="C13" s="14" t="s">
        <v>162</v>
      </c>
      <c r="D13" s="14"/>
      <c r="E13" s="21">
        <v>4</v>
      </c>
      <c r="F13" s="140">
        <f>[1]!SEIP1071P260F2300PPL</f>
        <v>0</v>
      </c>
      <c r="G13" s="132"/>
      <c r="H13" s="133"/>
      <c r="I13" s="133"/>
      <c r="J13" s="133"/>
      <c r="K13" s="133"/>
      <c r="L13" s="133"/>
      <c r="M13" s="133">
        <f>[1]!SEIP1071P260F2300</f>
        <v>0</v>
      </c>
      <c r="N13" s="20">
        <f t="shared" si="0"/>
        <v>0</v>
      </c>
      <c r="O13" s="134" t="str">
        <f t="shared" si="1"/>
        <v> </v>
      </c>
      <c r="P13" s="89">
        <v>4</v>
      </c>
    </row>
    <row r="14" spans="1:16" ht="12.75">
      <c r="A14" s="86"/>
      <c r="B14" s="14"/>
      <c r="C14" s="14" t="s">
        <v>163</v>
      </c>
      <c r="D14" s="14"/>
      <c r="E14" s="21">
        <v>5</v>
      </c>
      <c r="F14" s="140">
        <f>[1]!SEIP1071P260F2400PPL</f>
        <v>0</v>
      </c>
      <c r="G14" s="132"/>
      <c r="H14" s="133"/>
      <c r="I14" s="133"/>
      <c r="J14" s="133"/>
      <c r="K14" s="133"/>
      <c r="L14" s="133"/>
      <c r="M14" s="133">
        <f>[1]!SEIP1071P260F2400</f>
        <v>0</v>
      </c>
      <c r="N14" s="20">
        <f t="shared" si="0"/>
        <v>0</v>
      </c>
      <c r="O14" s="134" t="str">
        <f t="shared" si="1"/>
        <v> </v>
      </c>
      <c r="P14" s="89">
        <v>5</v>
      </c>
    </row>
    <row r="15" spans="1:16" ht="12.75">
      <c r="A15" s="86"/>
      <c r="B15" s="14"/>
      <c r="C15" s="14" t="s">
        <v>165</v>
      </c>
      <c r="D15" s="14"/>
      <c r="E15" s="21">
        <v>6</v>
      </c>
      <c r="F15" s="140">
        <f>[1]!SEIP1071P260F2500PPL</f>
        <v>0</v>
      </c>
      <c r="G15" s="132"/>
      <c r="H15" s="133"/>
      <c r="I15" s="133"/>
      <c r="J15" s="133"/>
      <c r="K15" s="133"/>
      <c r="L15" s="133"/>
      <c r="M15" s="133">
        <f>[1]!SEIP1071P260F2500</f>
        <v>0</v>
      </c>
      <c r="N15" s="20">
        <f t="shared" si="0"/>
        <v>0</v>
      </c>
      <c r="O15" s="134" t="str">
        <f t="shared" si="1"/>
        <v> </v>
      </c>
      <c r="P15" s="89">
        <v>6</v>
      </c>
    </row>
    <row r="16" spans="1:16" ht="12.75">
      <c r="A16" s="86"/>
      <c r="B16" s="14"/>
      <c r="C16" s="14" t="s">
        <v>166</v>
      </c>
      <c r="D16" s="14"/>
      <c r="E16" s="21">
        <v>7</v>
      </c>
      <c r="F16" s="140">
        <f>[1]!SEIP1071P260F2600PPL</f>
        <v>0</v>
      </c>
      <c r="G16" s="90"/>
      <c r="H16" s="26"/>
      <c r="I16" s="26"/>
      <c r="J16" s="26"/>
      <c r="K16" s="26"/>
      <c r="L16" s="26"/>
      <c r="M16" s="133">
        <f>[1]!SEIP1071P260F2600</f>
        <v>0</v>
      </c>
      <c r="N16" s="20">
        <f t="shared" si="0"/>
        <v>0</v>
      </c>
      <c r="O16" s="134" t="str">
        <f t="shared" si="1"/>
        <v> </v>
      </c>
      <c r="P16" s="89">
        <v>7</v>
      </c>
    </row>
    <row r="17" spans="1:16" ht="12.75">
      <c r="A17" s="86"/>
      <c r="B17" s="14"/>
      <c r="C17" s="14" t="s">
        <v>169</v>
      </c>
      <c r="D17" s="14"/>
      <c r="E17" s="21">
        <v>8</v>
      </c>
      <c r="F17" s="140">
        <f>[1]!SEIP1071P260F2900PPL</f>
        <v>0</v>
      </c>
      <c r="G17" s="91"/>
      <c r="H17" s="25"/>
      <c r="I17" s="25"/>
      <c r="J17" s="25"/>
      <c r="K17" s="25"/>
      <c r="L17" s="25"/>
      <c r="M17" s="133">
        <f>[1]!SEIP1071P260F2900</f>
        <v>0</v>
      </c>
      <c r="N17" s="20">
        <f t="shared" si="0"/>
        <v>0</v>
      </c>
      <c r="O17" s="134" t="str">
        <f t="shared" si="1"/>
        <v> </v>
      </c>
      <c r="P17" s="89">
        <v>8</v>
      </c>
    </row>
    <row r="18" spans="1:16" ht="12.75">
      <c r="A18" s="92"/>
      <c r="B18" s="135" t="s">
        <v>175</v>
      </c>
      <c r="C18" s="31"/>
      <c r="D18" s="31"/>
      <c r="E18" s="23">
        <v>9</v>
      </c>
      <c r="F18" s="188">
        <f>SUM(F8:F17)</f>
        <v>0</v>
      </c>
      <c r="G18" s="93">
        <f aca="true" t="shared" si="2" ref="G18:L18">SUM(G7:G17)</f>
        <v>0</v>
      </c>
      <c r="H18" s="6">
        <f t="shared" si="2"/>
        <v>0</v>
      </c>
      <c r="I18" s="6">
        <f t="shared" si="2"/>
        <v>0</v>
      </c>
      <c r="J18" s="6">
        <f t="shared" si="2"/>
        <v>0</v>
      </c>
      <c r="K18" s="6">
        <f t="shared" si="2"/>
        <v>0</v>
      </c>
      <c r="L18" s="6">
        <f t="shared" si="2"/>
        <v>0</v>
      </c>
      <c r="M18" s="162">
        <f>SUM(M8:M17)</f>
        <v>0</v>
      </c>
      <c r="N18" s="162">
        <f>SUM(N8:N17)</f>
        <v>0</v>
      </c>
      <c r="O18" s="163" t="str">
        <f t="shared" si="1"/>
        <v> </v>
      </c>
      <c r="P18" s="2">
        <v>9</v>
      </c>
    </row>
    <row r="19" spans="1:16" ht="12.75">
      <c r="A19" s="86"/>
      <c r="B19" s="136" t="s">
        <v>172</v>
      </c>
      <c r="C19" s="14"/>
      <c r="D19" s="14"/>
      <c r="E19" s="3"/>
      <c r="F19" s="184"/>
      <c r="G19" s="185"/>
      <c r="H19" s="126"/>
      <c r="I19" s="126"/>
      <c r="J19" s="126"/>
      <c r="K19" s="126"/>
      <c r="L19" s="128"/>
      <c r="M19" s="184"/>
      <c r="N19" s="190"/>
      <c r="O19" s="184"/>
      <c r="P19" s="2"/>
    </row>
    <row r="20" spans="1:16" ht="12.75">
      <c r="A20" s="86"/>
      <c r="B20" s="17"/>
      <c r="C20" s="14" t="s">
        <v>23</v>
      </c>
      <c r="D20" s="14"/>
      <c r="E20" s="3"/>
      <c r="F20" s="186"/>
      <c r="G20" s="187"/>
      <c r="H20" s="179"/>
      <c r="I20" s="179"/>
      <c r="J20" s="179"/>
      <c r="K20" s="179"/>
      <c r="L20" s="169"/>
      <c r="M20" s="179"/>
      <c r="N20" s="169"/>
      <c r="O20" s="180"/>
      <c r="P20" s="2"/>
    </row>
    <row r="21" spans="1:16" ht="12.75">
      <c r="A21" s="86"/>
      <c r="B21" s="17"/>
      <c r="C21" s="14" t="s">
        <v>170</v>
      </c>
      <c r="D21" s="14"/>
      <c r="E21" s="3">
        <v>10</v>
      </c>
      <c r="F21" s="141">
        <f>[1]!SEIP1071P430F2700PPL</f>
        <v>0</v>
      </c>
      <c r="G21" s="183"/>
      <c r="H21" s="104"/>
      <c r="I21" s="104"/>
      <c r="J21" s="104"/>
      <c r="K21" s="104"/>
      <c r="L21" s="166"/>
      <c r="M21" s="104">
        <f>[1]!SEIP1071P430F2700</f>
        <v>0</v>
      </c>
      <c r="N21" s="167">
        <f>SUM(H19:L21)</f>
        <v>0</v>
      </c>
      <c r="O21" s="181" t="str">
        <f>IF(M21=0," ",(N21-M21)/M21)</f>
        <v> </v>
      </c>
      <c r="P21" s="2">
        <v>10</v>
      </c>
    </row>
    <row r="22" spans="1:16" ht="12.75">
      <c r="A22" s="137" t="s">
        <v>176</v>
      </c>
      <c r="B22" s="94"/>
      <c r="C22" s="94"/>
      <c r="D22" s="94"/>
      <c r="E22" s="22">
        <v>11</v>
      </c>
      <c r="F22" s="93">
        <f aca="true" t="shared" si="3" ref="F22:L22">SUM(F18:F21)</f>
        <v>0</v>
      </c>
      <c r="G22" s="93">
        <f t="shared" si="3"/>
        <v>0</v>
      </c>
      <c r="H22" s="20">
        <f t="shared" si="3"/>
        <v>0</v>
      </c>
      <c r="I22" s="20">
        <f t="shared" si="3"/>
        <v>0</v>
      </c>
      <c r="J22" s="20">
        <f t="shared" si="3"/>
        <v>0</v>
      </c>
      <c r="K22" s="20">
        <f t="shared" si="3"/>
        <v>0</v>
      </c>
      <c r="L22" s="20">
        <f t="shared" si="3"/>
        <v>0</v>
      </c>
      <c r="M22" s="6">
        <f>[1]!TotalSEIP</f>
        <v>0</v>
      </c>
      <c r="N22" s="6">
        <f>SUM(N18:N21)</f>
        <v>0</v>
      </c>
      <c r="O22" s="189" t="str">
        <f>IF(M22=0," ",(N22-M22)/M22)</f>
        <v> </v>
      </c>
      <c r="P22" s="89">
        <v>11</v>
      </c>
    </row>
    <row r="23" spans="1:16" ht="12.75">
      <c r="A23" s="17"/>
      <c r="B23" s="17"/>
      <c r="C23" s="17"/>
      <c r="D23" s="17"/>
      <c r="E23" s="17"/>
      <c r="F23" s="17"/>
      <c r="G23" s="17"/>
      <c r="H23" s="17"/>
      <c r="I23" s="17"/>
      <c r="J23" s="17"/>
      <c r="K23" s="17"/>
      <c r="L23" s="17"/>
      <c r="M23" s="17"/>
      <c r="N23" s="17"/>
      <c r="O23" s="17"/>
      <c r="P23" s="17"/>
    </row>
    <row r="24" spans="1:16" ht="12.75">
      <c r="A24" s="70"/>
      <c r="B24" s="71"/>
      <c r="C24" s="71"/>
      <c r="D24" s="71"/>
      <c r="E24" s="72"/>
      <c r="F24" s="73" t="s">
        <v>141</v>
      </c>
      <c r="G24" s="74"/>
      <c r="H24" s="75"/>
      <c r="I24" s="75"/>
      <c r="J24" s="76" t="s">
        <v>14</v>
      </c>
      <c r="K24" s="1"/>
      <c r="L24" s="1"/>
      <c r="M24" s="77" t="s">
        <v>61</v>
      </c>
      <c r="N24" s="78"/>
      <c r="O24" s="75"/>
      <c r="P24" s="17"/>
    </row>
    <row r="25" spans="1:16" ht="12.75">
      <c r="A25" s="4"/>
      <c r="B25" s="14"/>
      <c r="C25" s="14"/>
      <c r="D25" s="14"/>
      <c r="E25" s="79"/>
      <c r="F25" s="80" t="s">
        <v>139</v>
      </c>
      <c r="G25" s="81"/>
      <c r="H25" s="82"/>
      <c r="I25" s="82" t="s">
        <v>140</v>
      </c>
      <c r="J25" s="82" t="s">
        <v>17</v>
      </c>
      <c r="K25" s="83"/>
      <c r="L25" s="83"/>
      <c r="M25" s="83"/>
      <c r="N25" s="83"/>
      <c r="O25" s="82" t="s">
        <v>63</v>
      </c>
      <c r="P25" s="17"/>
    </row>
    <row r="26" spans="1:16" ht="12.75">
      <c r="A26" s="4" t="s">
        <v>92</v>
      </c>
      <c r="B26" s="14"/>
      <c r="C26" s="14"/>
      <c r="D26" s="14"/>
      <c r="E26" s="79"/>
      <c r="F26" s="275" t="s">
        <v>248</v>
      </c>
      <c r="G26" s="76" t="s">
        <v>62</v>
      </c>
      <c r="H26" s="82" t="s">
        <v>15</v>
      </c>
      <c r="I26" s="82" t="s">
        <v>16</v>
      </c>
      <c r="J26" s="82" t="s">
        <v>20</v>
      </c>
      <c r="K26" s="82" t="s">
        <v>18</v>
      </c>
      <c r="L26" s="82" t="s">
        <v>19</v>
      </c>
      <c r="M26" s="274" t="s">
        <v>249</v>
      </c>
      <c r="N26" s="82" t="s">
        <v>55</v>
      </c>
      <c r="O26" s="82" t="s">
        <v>64</v>
      </c>
      <c r="P26" s="17"/>
    </row>
    <row r="27" spans="1:16" ht="12.75">
      <c r="A27" s="84"/>
      <c r="B27" s="31"/>
      <c r="C27" s="31"/>
      <c r="D27" s="31"/>
      <c r="E27" s="23"/>
      <c r="F27" s="82" t="s">
        <v>54</v>
      </c>
      <c r="G27" s="85" t="s">
        <v>54</v>
      </c>
      <c r="H27" s="85">
        <v>6100</v>
      </c>
      <c r="I27" s="85">
        <v>6200</v>
      </c>
      <c r="J27" s="85">
        <v>6500</v>
      </c>
      <c r="K27" s="85">
        <v>6600</v>
      </c>
      <c r="L27" s="85">
        <v>6800</v>
      </c>
      <c r="M27" s="82">
        <v>2018</v>
      </c>
      <c r="N27" s="82">
        <v>2019</v>
      </c>
      <c r="O27" s="82" t="s">
        <v>65</v>
      </c>
      <c r="P27" s="17"/>
    </row>
    <row r="28" spans="1:16" ht="12.75">
      <c r="A28" s="265" t="s">
        <v>143</v>
      </c>
      <c r="B28" s="252"/>
      <c r="C28" s="252"/>
      <c r="D28" s="252"/>
      <c r="E28" s="182"/>
      <c r="F28" s="184"/>
      <c r="G28" s="185"/>
      <c r="H28" s="126"/>
      <c r="I28" s="126"/>
      <c r="J28" s="126"/>
      <c r="K28" s="126"/>
      <c r="L28" s="128"/>
      <c r="M28" s="184"/>
      <c r="N28" s="184"/>
      <c r="O28" s="184"/>
      <c r="P28" s="17"/>
    </row>
    <row r="29" spans="1:16" ht="12.75">
      <c r="A29" s="86"/>
      <c r="B29" s="14" t="s">
        <v>144</v>
      </c>
      <c r="C29" s="14"/>
      <c r="D29" s="14"/>
      <c r="E29" s="3"/>
      <c r="F29" s="186"/>
      <c r="G29" s="187"/>
      <c r="H29" s="179"/>
      <c r="I29" s="179"/>
      <c r="J29" s="179"/>
      <c r="K29" s="179"/>
      <c r="L29" s="169"/>
      <c r="M29" s="179"/>
      <c r="N29" s="179"/>
      <c r="O29" s="170"/>
      <c r="P29" s="17"/>
    </row>
    <row r="30" spans="1:16" ht="12.75">
      <c r="A30" s="86"/>
      <c r="B30" s="17"/>
      <c r="C30" s="14" t="s">
        <v>22</v>
      </c>
      <c r="D30" s="14"/>
      <c r="E30" s="3">
        <v>12</v>
      </c>
      <c r="F30" s="141">
        <f>[1]!CIP1072P265F1000PPL</f>
        <v>0</v>
      </c>
      <c r="G30" s="183"/>
      <c r="H30" s="104"/>
      <c r="I30" s="104"/>
      <c r="J30" s="104"/>
      <c r="K30" s="104"/>
      <c r="L30" s="166"/>
      <c r="M30" s="104">
        <f>[1]!CIP1072P265F1000</f>
        <v>0</v>
      </c>
      <c r="N30" s="106">
        <f>SUM(H28:L30)</f>
        <v>0</v>
      </c>
      <c r="O30" s="165" t="str">
        <f>IF(M30=0," ",(N30-M30)/M30)</f>
        <v> </v>
      </c>
      <c r="P30" s="2">
        <v>12</v>
      </c>
    </row>
    <row r="31" spans="1:16" ht="12.75">
      <c r="A31" s="86"/>
      <c r="B31" s="17"/>
      <c r="C31" s="14" t="s">
        <v>23</v>
      </c>
      <c r="D31" s="14"/>
      <c r="E31" s="3"/>
      <c r="F31" s="184"/>
      <c r="G31" s="185"/>
      <c r="H31" s="126"/>
      <c r="I31" s="126"/>
      <c r="J31" s="126"/>
      <c r="K31" s="126"/>
      <c r="L31" s="128"/>
      <c r="M31" s="184"/>
      <c r="N31" s="184"/>
      <c r="O31" s="184"/>
      <c r="P31" s="17"/>
    </row>
    <row r="32" spans="1:16" ht="12.75">
      <c r="A32" s="86"/>
      <c r="B32" s="17"/>
      <c r="C32" s="14" t="s">
        <v>161</v>
      </c>
      <c r="D32" s="14"/>
      <c r="E32" s="3">
        <v>13</v>
      </c>
      <c r="F32" s="141">
        <f>[1]!CIP1072P265F2100PPL</f>
        <v>0</v>
      </c>
      <c r="G32" s="183"/>
      <c r="H32" s="104"/>
      <c r="I32" s="104"/>
      <c r="J32" s="104"/>
      <c r="K32" s="104"/>
      <c r="L32" s="166"/>
      <c r="M32" s="104">
        <f>[1]!CIP1072P265F2100</f>
        <v>0</v>
      </c>
      <c r="N32" s="106">
        <f>SUM(H31:L32)</f>
        <v>0</v>
      </c>
      <c r="O32" s="165" t="str">
        <f>IF(M32=0," ",(N32-M32)/M32)</f>
        <v> </v>
      </c>
      <c r="P32" s="2">
        <v>13</v>
      </c>
    </row>
    <row r="33" spans="1:16" ht="12.75">
      <c r="A33" s="86"/>
      <c r="B33" s="17"/>
      <c r="C33" s="14" t="s">
        <v>164</v>
      </c>
      <c r="D33" s="14"/>
      <c r="E33" s="21">
        <v>14</v>
      </c>
      <c r="F33" s="141">
        <f>[1]!CIP1072P265F2200PPL</f>
        <v>0</v>
      </c>
      <c r="G33" s="132"/>
      <c r="H33" s="133"/>
      <c r="I33" s="133"/>
      <c r="J33" s="133"/>
      <c r="K33" s="133"/>
      <c r="L33" s="133"/>
      <c r="M33" s="34">
        <f>[1]!CIP1072P265F2200</f>
        <v>0</v>
      </c>
      <c r="N33" s="6">
        <f aca="true" t="shared" si="4" ref="N33:N38">SUM(H33:L33)</f>
        <v>0</v>
      </c>
      <c r="O33" s="164" t="str">
        <f aca="true" t="shared" si="5" ref="O33:O39">IF(M33=0," ",(N33-M33)/M33)</f>
        <v> </v>
      </c>
      <c r="P33" s="89">
        <v>14</v>
      </c>
    </row>
    <row r="34" spans="1:16" ht="12.75">
      <c r="A34" s="86"/>
      <c r="B34" s="17"/>
      <c r="C34" s="14" t="s">
        <v>162</v>
      </c>
      <c r="D34" s="14"/>
      <c r="E34" s="21">
        <v>15</v>
      </c>
      <c r="F34" s="141">
        <f>[1]!CIP1072P265F2300PPL</f>
        <v>0</v>
      </c>
      <c r="G34" s="88"/>
      <c r="H34" s="34"/>
      <c r="I34" s="34"/>
      <c r="J34" s="34"/>
      <c r="K34" s="34"/>
      <c r="L34" s="34"/>
      <c r="M34" s="133">
        <f>[1]!CIP1072P265F2300</f>
        <v>0</v>
      </c>
      <c r="N34" s="20">
        <f t="shared" si="4"/>
        <v>0</v>
      </c>
      <c r="O34" s="134" t="str">
        <f t="shared" si="5"/>
        <v> </v>
      </c>
      <c r="P34" s="89">
        <v>15</v>
      </c>
    </row>
    <row r="35" spans="1:16" ht="12.75">
      <c r="A35" s="86"/>
      <c r="B35" s="17"/>
      <c r="C35" s="14" t="s">
        <v>163</v>
      </c>
      <c r="D35" s="14"/>
      <c r="E35" s="21">
        <v>16</v>
      </c>
      <c r="F35" s="141">
        <f>[1]!CIP1072P265F2400PPL</f>
        <v>0</v>
      </c>
      <c r="G35" s="88"/>
      <c r="H35" s="34"/>
      <c r="I35" s="34"/>
      <c r="J35" s="34"/>
      <c r="K35" s="34"/>
      <c r="L35" s="34"/>
      <c r="M35" s="133">
        <f>[1]!CIP1072P265F2400</f>
        <v>0</v>
      </c>
      <c r="N35" s="20">
        <f t="shared" si="4"/>
        <v>0</v>
      </c>
      <c r="O35" s="134" t="str">
        <f t="shared" si="5"/>
        <v> </v>
      </c>
      <c r="P35" s="89">
        <v>16</v>
      </c>
    </row>
    <row r="36" spans="1:16" ht="12.75">
      <c r="A36" s="86"/>
      <c r="B36" s="17"/>
      <c r="C36" s="14" t="s">
        <v>165</v>
      </c>
      <c r="D36" s="14"/>
      <c r="E36" s="21">
        <v>17</v>
      </c>
      <c r="F36" s="141">
        <f>[1]!CIP1072P265F2500PPL</f>
        <v>0</v>
      </c>
      <c r="G36" s="88"/>
      <c r="H36" s="34"/>
      <c r="I36" s="34"/>
      <c r="J36" s="34"/>
      <c r="K36" s="34"/>
      <c r="L36" s="34"/>
      <c r="M36" s="133">
        <f>[1]!CIP1072P265F2500</f>
        <v>0</v>
      </c>
      <c r="N36" s="20">
        <f t="shared" si="4"/>
        <v>0</v>
      </c>
      <c r="O36" s="134" t="str">
        <f t="shared" si="5"/>
        <v> </v>
      </c>
      <c r="P36" s="89">
        <v>17</v>
      </c>
    </row>
    <row r="37" spans="1:16" ht="12.75">
      <c r="A37" s="86"/>
      <c r="B37" s="17"/>
      <c r="C37" s="14" t="s">
        <v>166</v>
      </c>
      <c r="D37" s="14"/>
      <c r="E37" s="21">
        <v>18</v>
      </c>
      <c r="F37" s="140">
        <f>[1]!CIP1072P265F2600PPL</f>
        <v>0</v>
      </c>
      <c r="G37" s="90"/>
      <c r="H37" s="26"/>
      <c r="I37" s="26"/>
      <c r="J37" s="26"/>
      <c r="K37" s="26"/>
      <c r="L37" s="26"/>
      <c r="M37" s="133">
        <f>[1]!CIP1072P265F2600</f>
        <v>0</v>
      </c>
      <c r="N37" s="20">
        <f t="shared" si="4"/>
        <v>0</v>
      </c>
      <c r="O37" s="134" t="str">
        <f t="shared" si="5"/>
        <v> </v>
      </c>
      <c r="P37" s="89">
        <v>18</v>
      </c>
    </row>
    <row r="38" spans="1:16" ht="12.75">
      <c r="A38" s="86"/>
      <c r="B38" s="17"/>
      <c r="C38" s="14" t="s">
        <v>169</v>
      </c>
      <c r="D38" s="14"/>
      <c r="E38" s="21">
        <v>19</v>
      </c>
      <c r="F38" s="141">
        <f>[1]!CIP1072P265F2900PPL</f>
        <v>0</v>
      </c>
      <c r="G38" s="91"/>
      <c r="H38" s="25"/>
      <c r="I38" s="25"/>
      <c r="J38" s="25"/>
      <c r="K38" s="25"/>
      <c r="L38" s="25"/>
      <c r="M38" s="133">
        <f>[1]!CIP1072P265F2900</f>
        <v>0</v>
      </c>
      <c r="N38" s="20">
        <f t="shared" si="4"/>
        <v>0</v>
      </c>
      <c r="O38" s="134" t="str">
        <f t="shared" si="5"/>
        <v> </v>
      </c>
      <c r="P38" s="89">
        <v>19</v>
      </c>
    </row>
    <row r="39" spans="1:16" ht="12.75">
      <c r="A39" s="92"/>
      <c r="B39" s="135" t="s">
        <v>177</v>
      </c>
      <c r="C39" s="31"/>
      <c r="D39" s="31"/>
      <c r="E39" s="23">
        <v>20</v>
      </c>
      <c r="F39" s="186">
        <f>SUM(F29:F38)</f>
        <v>0</v>
      </c>
      <c r="G39" s="93">
        <f aca="true" t="shared" si="6" ref="G39:L39">SUM(G28:G38)</f>
        <v>0</v>
      </c>
      <c r="H39" s="6">
        <f t="shared" si="6"/>
        <v>0</v>
      </c>
      <c r="I39" s="6">
        <f t="shared" si="6"/>
        <v>0</v>
      </c>
      <c r="J39" s="6">
        <f t="shared" si="6"/>
        <v>0</v>
      </c>
      <c r="K39" s="6">
        <f t="shared" si="6"/>
        <v>0</v>
      </c>
      <c r="L39" s="6">
        <f t="shared" si="6"/>
        <v>0</v>
      </c>
      <c r="M39" s="162">
        <f>SUM(M29:M38)</f>
        <v>0</v>
      </c>
      <c r="N39" s="162">
        <f>SUM(N29:N38)</f>
        <v>0</v>
      </c>
      <c r="O39" s="163" t="str">
        <f t="shared" si="5"/>
        <v> </v>
      </c>
      <c r="P39" s="2">
        <v>20</v>
      </c>
    </row>
    <row r="40" spans="1:16" ht="12.75">
      <c r="A40" s="86"/>
      <c r="B40" s="136" t="s">
        <v>173</v>
      </c>
      <c r="C40" s="14"/>
      <c r="D40" s="14"/>
      <c r="E40" s="3"/>
      <c r="F40" s="184"/>
      <c r="G40" s="185"/>
      <c r="H40" s="126"/>
      <c r="I40" s="126"/>
      <c r="J40" s="126"/>
      <c r="K40" s="126"/>
      <c r="L40" s="128"/>
      <c r="M40" s="184"/>
      <c r="N40" s="184"/>
      <c r="O40" s="184"/>
      <c r="P40" s="2"/>
    </row>
    <row r="41" spans="1:16" ht="12.75">
      <c r="A41" s="86"/>
      <c r="B41" s="17"/>
      <c r="C41" s="14" t="s">
        <v>23</v>
      </c>
      <c r="D41" s="14"/>
      <c r="E41" s="3"/>
      <c r="F41" s="186"/>
      <c r="G41" s="187"/>
      <c r="H41" s="179"/>
      <c r="I41" s="179"/>
      <c r="J41" s="179"/>
      <c r="K41" s="179"/>
      <c r="L41" s="169"/>
      <c r="M41" s="179"/>
      <c r="N41" s="179"/>
      <c r="O41" s="180"/>
      <c r="P41" s="2"/>
    </row>
    <row r="42" spans="1:16" ht="12.75">
      <c r="A42" s="86"/>
      <c r="B42" s="17"/>
      <c r="C42" s="14" t="s">
        <v>170</v>
      </c>
      <c r="D42" s="14"/>
      <c r="E42" s="3">
        <v>21</v>
      </c>
      <c r="F42" s="141">
        <f>[1]!CIP1072P435F2700PPL</f>
        <v>0</v>
      </c>
      <c r="G42" s="183"/>
      <c r="H42" s="104"/>
      <c r="I42" s="104"/>
      <c r="J42" s="104"/>
      <c r="K42" s="104"/>
      <c r="L42" s="166"/>
      <c r="M42" s="104">
        <f>[1]!CIP1072P435F2700</f>
        <v>0</v>
      </c>
      <c r="N42" s="106">
        <f>SUM(H40:L42)</f>
        <v>0</v>
      </c>
      <c r="O42" s="181" t="str">
        <f>IF(M42=0," ",(N42-M42)/M42)</f>
        <v> </v>
      </c>
      <c r="P42" s="2">
        <v>21</v>
      </c>
    </row>
    <row r="43" spans="1:16" ht="12.75">
      <c r="A43" s="137" t="s">
        <v>178</v>
      </c>
      <c r="B43" s="94"/>
      <c r="C43" s="94"/>
      <c r="D43" s="94"/>
      <c r="E43" s="22">
        <v>22</v>
      </c>
      <c r="F43" s="87">
        <f>SUM(F39:F42)</f>
        <v>0</v>
      </c>
      <c r="G43" s="93">
        <f aca="true" t="shared" si="7" ref="G43:L43">SUM(G39:G42)</f>
        <v>0</v>
      </c>
      <c r="H43" s="20">
        <f t="shared" si="7"/>
        <v>0</v>
      </c>
      <c r="I43" s="20">
        <f t="shared" si="7"/>
        <v>0</v>
      </c>
      <c r="J43" s="20">
        <f t="shared" si="7"/>
        <v>0</v>
      </c>
      <c r="K43" s="20">
        <f t="shared" si="7"/>
        <v>0</v>
      </c>
      <c r="L43" s="20">
        <f t="shared" si="7"/>
        <v>0</v>
      </c>
      <c r="M43" s="6">
        <f>SUM(M39:M42)</f>
        <v>0</v>
      </c>
      <c r="N43" s="6">
        <f>SUM(N39:N42)</f>
        <v>0</v>
      </c>
      <c r="O43" s="189" t="str">
        <f>IF(M43=0," ",(N43-M43)/M43)</f>
        <v> </v>
      </c>
      <c r="P43" s="89">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5/18&amp;C&amp;"Arial,Bold"FY 2019&amp;R&amp;"Arial,Bold"Page 4 of 4</oddFooter>
  </headerFooter>
  <drawing r:id="rId2"/>
</worksheet>
</file>

<file path=xl/worksheets/sheet7.xml><?xml version="1.0" encoding="utf-8"?>
<worksheet xmlns="http://schemas.openxmlformats.org/spreadsheetml/2006/main" xmlns:r="http://schemas.openxmlformats.org/officeDocument/2006/relationships">
  <dimension ref="A1:M53"/>
  <sheetViews>
    <sheetView showGridLines="0" workbookViewId="0" topLeftCell="A1">
      <selection activeCell="D6" sqref="D6"/>
    </sheetView>
  </sheetViews>
  <sheetFormatPr defaultColWidth="9.140625" defaultRowHeight="12.75"/>
  <cols>
    <col min="1" max="2" width="1.57421875" style="194" customWidth="1"/>
    <col min="3" max="3" width="42.140625" style="194" customWidth="1"/>
    <col min="4" max="5" width="12.7109375" style="194" customWidth="1"/>
    <col min="6" max="6" width="9.7109375" style="194" customWidth="1"/>
    <col min="7" max="7" width="4.7109375" style="194" customWidth="1"/>
    <col min="8" max="8" width="27.28125" style="194" customWidth="1"/>
    <col min="9" max="9" width="5.28125" style="194" customWidth="1"/>
    <col min="10" max="12" width="12.7109375" style="194" customWidth="1"/>
    <col min="13" max="13" width="9.7109375" style="194" customWidth="1"/>
    <col min="14" max="16384" width="9.140625" style="194" customWidth="1"/>
  </cols>
  <sheetData>
    <row r="1" spans="1:12" ht="23.25" customHeight="1">
      <c r="A1" s="445" t="s">
        <v>305</v>
      </c>
      <c r="B1" s="445"/>
      <c r="C1" s="445"/>
      <c r="D1" s="445"/>
      <c r="E1" s="445"/>
      <c r="F1" s="445"/>
      <c r="G1" s="445"/>
      <c r="H1" s="445"/>
      <c r="I1" s="445"/>
      <c r="J1" s="445"/>
      <c r="K1" s="195" t="s">
        <v>192</v>
      </c>
      <c r="L1" s="196" t="str">
        <f>[0]!CTD</f>
        <v>078584000</v>
      </c>
    </row>
    <row r="2" ht="3.75" customHeight="1"/>
    <row r="3" spans="1:13" ht="12" customHeight="1">
      <c r="A3" s="213" t="s">
        <v>213</v>
      </c>
      <c r="B3" s="214"/>
      <c r="C3" s="214"/>
      <c r="D3" s="455" t="s">
        <v>61</v>
      </c>
      <c r="E3" s="456"/>
      <c r="F3" s="208" t="s">
        <v>63</v>
      </c>
      <c r="H3" s="446" t="str">
        <f>"The budget of "&amp;IF(Cover!$D$3=0,Cover!$D$1,Cover!$D$1&amp;" (d.b.a. "&amp;Cover!$D$3&amp;")")&amp;" for fiscal year 2019 was officially proposed by the Governing Board on "&amp;TEXT(Cover!$F$20,"mmmm dd, yyyy")&amp;". The complete budget may be reviewed by contacting "&amp;Cover!$O$15&amp;" at "&amp;Cover!$M$16&amp;" or "&amp;Cover!$P$16&amp;"."</f>
        <v>The budget of North Phoenix Preparatory Academy for fiscal year 2019 was officially proposed by the Governing Board on June 20, 2018. The complete budget may be reviewed by contacting Elvia Barbosa at 6024387045 or ebarbosa@greatheartsaz.org.</v>
      </c>
      <c r="I3" s="447"/>
      <c r="J3" s="447"/>
      <c r="K3" s="447"/>
      <c r="L3" s="447"/>
      <c r="M3" s="448"/>
    </row>
    <row r="4" spans="1:13" ht="12" customHeight="1">
      <c r="A4" s="215"/>
      <c r="D4" s="208" t="s">
        <v>249</v>
      </c>
      <c r="E4" s="208" t="s">
        <v>55</v>
      </c>
      <c r="F4" s="216" t="s">
        <v>64</v>
      </c>
      <c r="H4" s="449"/>
      <c r="I4" s="450"/>
      <c r="J4" s="450"/>
      <c r="K4" s="450"/>
      <c r="L4" s="450"/>
      <c r="M4" s="451"/>
    </row>
    <row r="5" spans="1:13" ht="12" customHeight="1">
      <c r="A5" s="215" t="s">
        <v>21</v>
      </c>
      <c r="D5" s="197">
        <v>2018</v>
      </c>
      <c r="E5" s="197">
        <v>2019</v>
      </c>
      <c r="F5" s="217" t="s">
        <v>65</v>
      </c>
      <c r="H5" s="449"/>
      <c r="I5" s="450"/>
      <c r="J5" s="450"/>
      <c r="K5" s="450"/>
      <c r="L5" s="450"/>
      <c r="M5" s="451"/>
    </row>
    <row r="6" spans="1:13" ht="12" customHeight="1">
      <c r="A6" s="215"/>
      <c r="B6" s="194" t="s">
        <v>22</v>
      </c>
      <c r="D6" s="199">
        <f>SP1000P100F1000CY</f>
        <v>1249612</v>
      </c>
      <c r="E6" s="199">
        <f>SP1000P100F1000</f>
        <v>1780578</v>
      </c>
      <c r="F6" s="218">
        <f>IF(D6=0," ",(E6-D6)/D6)</f>
        <v>0.4249046904159051</v>
      </c>
      <c r="H6" s="449"/>
      <c r="I6" s="450"/>
      <c r="J6" s="450"/>
      <c r="K6" s="450"/>
      <c r="L6" s="450"/>
      <c r="M6" s="451"/>
    </row>
    <row r="7" spans="1:13" ht="12" customHeight="1">
      <c r="A7" s="215"/>
      <c r="B7" s="194" t="s">
        <v>23</v>
      </c>
      <c r="D7" s="200"/>
      <c r="E7" s="236"/>
      <c r="F7" s="237"/>
      <c r="H7" s="452"/>
      <c r="I7" s="453"/>
      <c r="J7" s="453"/>
      <c r="K7" s="453"/>
      <c r="L7" s="453"/>
      <c r="M7" s="454"/>
    </row>
    <row r="8" spans="1:11" ht="12" customHeight="1">
      <c r="A8" s="215"/>
      <c r="C8" s="194" t="s">
        <v>193</v>
      </c>
      <c r="D8" s="201">
        <f>SP1000P100F2100CY</f>
        <v>0</v>
      </c>
      <c r="E8" s="235">
        <f>SP1000P100F2100</f>
        <v>0</v>
      </c>
      <c r="F8" s="219" t="str">
        <f>IF(D8=0," ",(E8-D8)/D8)</f>
        <v> </v>
      </c>
      <c r="H8" s="212"/>
      <c r="I8" s="212"/>
      <c r="J8" s="212"/>
      <c r="K8" s="212"/>
    </row>
    <row r="9" spans="1:13" ht="12" customHeight="1">
      <c r="A9" s="215"/>
      <c r="C9" s="194" t="s">
        <v>194</v>
      </c>
      <c r="D9" s="198">
        <f>SP1000P100F2200CY</f>
        <v>0</v>
      </c>
      <c r="E9" s="198">
        <f>SP1000P100F2200</f>
        <v>0</v>
      </c>
      <c r="F9" s="222" t="str">
        <f>IF(D9=0," ",(E9-D9)/D9)</f>
        <v> </v>
      </c>
      <c r="H9" s="224"/>
      <c r="I9" s="214"/>
      <c r="J9" s="225"/>
      <c r="K9" s="457" t="s">
        <v>61</v>
      </c>
      <c r="L9" s="458"/>
      <c r="M9" s="208" t="s">
        <v>63</v>
      </c>
    </row>
    <row r="10" spans="1:13" ht="12" customHeight="1">
      <c r="A10" s="215"/>
      <c r="C10" s="194" t="s">
        <v>195</v>
      </c>
      <c r="D10" s="198">
        <f>SP1000P100F2300CY</f>
        <v>0</v>
      </c>
      <c r="E10" s="198">
        <f>SP1000P100F2300</f>
        <v>0</v>
      </c>
      <c r="F10" s="218" t="str">
        <f aca="true" t="shared" si="0" ref="F10:F21">IF(D10=0," ",(E10-D10)/D10)</f>
        <v> </v>
      </c>
      <c r="H10" s="226" t="s">
        <v>207</v>
      </c>
      <c r="I10" s="230"/>
      <c r="J10" s="231"/>
      <c r="K10" s="208" t="s">
        <v>249</v>
      </c>
      <c r="L10" s="208" t="s">
        <v>55</v>
      </c>
      <c r="M10" s="216" t="s">
        <v>64</v>
      </c>
    </row>
    <row r="11" spans="1:13" ht="12" customHeight="1">
      <c r="A11" s="215"/>
      <c r="C11" s="194" t="s">
        <v>196</v>
      </c>
      <c r="D11" s="198">
        <f>SP1000P100F2400CY</f>
        <v>464320</v>
      </c>
      <c r="E11" s="198">
        <f>SP1000P100F2400</f>
        <v>533085</v>
      </c>
      <c r="F11" s="218">
        <f t="shared" si="0"/>
        <v>0.14809829427980703</v>
      </c>
      <c r="H11" s="227"/>
      <c r="I11" s="232"/>
      <c r="J11" s="202"/>
      <c r="K11" s="197">
        <v>2018</v>
      </c>
      <c r="L11" s="197">
        <v>2019</v>
      </c>
      <c r="M11" s="217" t="s">
        <v>65</v>
      </c>
    </row>
    <row r="12" spans="1:13" ht="12" customHeight="1">
      <c r="A12" s="215"/>
      <c r="C12" s="194" t="s">
        <v>197</v>
      </c>
      <c r="D12" s="198">
        <f>SP1000P100F2500CY</f>
        <v>266521</v>
      </c>
      <c r="E12" s="198">
        <f>SP1000P100F2500</f>
        <v>370162</v>
      </c>
      <c r="F12" s="218">
        <f t="shared" si="0"/>
        <v>0.3888661681443489</v>
      </c>
      <c r="H12" s="228" t="s">
        <v>269</v>
      </c>
      <c r="I12" s="195"/>
      <c r="J12" s="231"/>
      <c r="K12" s="199">
        <f>'Page 2'!M5</f>
        <v>89317</v>
      </c>
      <c r="L12" s="199">
        <f>'Page 2'!N5</f>
        <v>144470</v>
      </c>
      <c r="M12" s="218">
        <f aca="true" t="shared" si="1" ref="M12:M19">IF(K12=0," ",(L12-K12)/K12)</f>
        <v>0.6174972289709686</v>
      </c>
    </row>
    <row r="13" spans="1:13" ht="12" customHeight="1">
      <c r="A13" s="215"/>
      <c r="C13" s="194" t="s">
        <v>198</v>
      </c>
      <c r="D13" s="198">
        <f>SP1000P100F2600CY</f>
        <v>553331</v>
      </c>
      <c r="E13" s="198">
        <f>SP1000P100F2600</f>
        <v>632726</v>
      </c>
      <c r="F13" s="218">
        <f t="shared" si="0"/>
        <v>0.1434855448185625</v>
      </c>
      <c r="H13" s="228" t="s">
        <v>33</v>
      </c>
      <c r="I13" s="195"/>
      <c r="J13" s="231"/>
      <c r="K13" s="199">
        <f>P200GiftedEducationCY</f>
        <v>0</v>
      </c>
      <c r="L13" s="198">
        <f>P200GiftedEducation</f>
        <v>0</v>
      </c>
      <c r="M13" s="218" t="str">
        <f t="shared" si="1"/>
        <v> </v>
      </c>
    </row>
    <row r="14" spans="1:13" ht="12" customHeight="1">
      <c r="A14" s="215"/>
      <c r="C14" s="194" t="s">
        <v>199</v>
      </c>
      <c r="D14" s="198">
        <f>SP1000P100F2900CY</f>
        <v>124029</v>
      </c>
      <c r="E14" s="198">
        <f>SP1000P100F2900</f>
        <v>119879</v>
      </c>
      <c r="F14" s="218">
        <f t="shared" si="0"/>
        <v>-0.033459916632400485</v>
      </c>
      <c r="H14" s="228" t="s">
        <v>145</v>
      </c>
      <c r="I14" s="195"/>
      <c r="J14" s="231"/>
      <c r="K14" s="199">
        <f>P200ELLIncrementalCostsCY</f>
        <v>0</v>
      </c>
      <c r="L14" s="198">
        <f>P200ELLIncrementalCosts</f>
        <v>0</v>
      </c>
      <c r="M14" s="218" t="str">
        <f t="shared" si="1"/>
        <v> </v>
      </c>
    </row>
    <row r="15" spans="1:13" ht="12" customHeight="1">
      <c r="A15" s="215"/>
      <c r="B15" s="194" t="s">
        <v>26</v>
      </c>
      <c r="D15" s="198">
        <f>SP1000P100F3000CY</f>
        <v>0</v>
      </c>
      <c r="E15" s="198">
        <f>SP1000P100F3000</f>
        <v>0</v>
      </c>
      <c r="F15" s="218" t="str">
        <f t="shared" si="0"/>
        <v> </v>
      </c>
      <c r="H15" s="228" t="s">
        <v>146</v>
      </c>
      <c r="I15" s="195"/>
      <c r="J15" s="231"/>
      <c r="K15" s="198">
        <f>P200ELLCompensatoryInstructionCY</f>
        <v>0</v>
      </c>
      <c r="L15" s="198">
        <f>P200ELLCompensatoryInstruction</f>
        <v>0</v>
      </c>
      <c r="M15" s="218" t="str">
        <f t="shared" si="1"/>
        <v> </v>
      </c>
    </row>
    <row r="16" spans="1:13" ht="12" customHeight="1">
      <c r="A16" s="215"/>
      <c r="B16" s="194" t="s">
        <v>150</v>
      </c>
      <c r="D16" s="198">
        <f>SP1000P100F4000CY</f>
        <v>0</v>
      </c>
      <c r="E16" s="198">
        <f>SP1000P100F4000</f>
        <v>0</v>
      </c>
      <c r="F16" s="218" t="str">
        <f t="shared" si="0"/>
        <v> </v>
      </c>
      <c r="H16" s="228" t="s">
        <v>34</v>
      </c>
      <c r="I16" s="195"/>
      <c r="J16" s="231"/>
      <c r="K16" s="198">
        <f>P200RemedialEducationCY</f>
        <v>0</v>
      </c>
      <c r="L16" s="198">
        <f>P200RemedialEducation</f>
        <v>0</v>
      </c>
      <c r="M16" s="218" t="str">
        <f t="shared" si="1"/>
        <v> </v>
      </c>
    </row>
    <row r="17" spans="1:13" ht="12" customHeight="1">
      <c r="A17" s="215"/>
      <c r="B17" s="194" t="s">
        <v>27</v>
      </c>
      <c r="D17" s="198">
        <f>SP1000P100F5000CY</f>
        <v>0</v>
      </c>
      <c r="E17" s="198">
        <f>SP1000P100F5000</f>
        <v>0</v>
      </c>
      <c r="F17" s="218" t="str">
        <f t="shared" si="0"/>
        <v> </v>
      </c>
      <c r="H17" s="228" t="s">
        <v>179</v>
      </c>
      <c r="I17" s="195"/>
      <c r="J17" s="231"/>
      <c r="K17" s="198">
        <f>P200VocationalandTechnologicalEdCY</f>
        <v>0</v>
      </c>
      <c r="L17" s="198">
        <f>P200VocationalandTechnologicalEd</f>
        <v>0</v>
      </c>
      <c r="M17" s="218" t="str">
        <f t="shared" si="1"/>
        <v> </v>
      </c>
    </row>
    <row r="18" spans="1:13" ht="12" customHeight="1">
      <c r="A18" s="215" t="s">
        <v>76</v>
      </c>
      <c r="D18" s="198">
        <f>SP1000P610CY</f>
        <v>15918</v>
      </c>
      <c r="E18" s="198">
        <f>SP1000P610</f>
        <v>15918</v>
      </c>
      <c r="F18" s="218">
        <f t="shared" si="0"/>
        <v>0</v>
      </c>
      <c r="H18" s="228" t="s">
        <v>35</v>
      </c>
      <c r="I18" s="195"/>
      <c r="J18" s="231"/>
      <c r="K18" s="211">
        <f>P200CareerEducationCY</f>
        <v>0</v>
      </c>
      <c r="L18" s="211">
        <f>P200CareerEducation</f>
        <v>0</v>
      </c>
      <c r="M18" s="218" t="str">
        <f t="shared" si="1"/>
        <v> </v>
      </c>
    </row>
    <row r="19" spans="1:13" ht="12" customHeight="1">
      <c r="A19" s="215" t="s">
        <v>78</v>
      </c>
      <c r="D19" s="198">
        <f>SP1000P620CY</f>
        <v>168509</v>
      </c>
      <c r="E19" s="198">
        <f>SP1000P620</f>
        <v>183235</v>
      </c>
      <c r="F19" s="218">
        <f t="shared" si="0"/>
        <v>0.08738999103905429</v>
      </c>
      <c r="H19" s="459" t="s">
        <v>204</v>
      </c>
      <c r="I19" s="460"/>
      <c r="J19" s="460"/>
      <c r="K19" s="198">
        <f>SUM(K12:K18)</f>
        <v>89317</v>
      </c>
      <c r="L19" s="198">
        <f>SUM(L12:L18)</f>
        <v>144470</v>
      </c>
      <c r="M19" s="221">
        <f t="shared" si="1"/>
        <v>0.6174972289709686</v>
      </c>
    </row>
    <row r="20" spans="1:13" ht="12" customHeight="1">
      <c r="A20" s="215" t="s">
        <v>77</v>
      </c>
      <c r="D20" s="198">
        <f>SP1000P630700800900CY</f>
        <v>0</v>
      </c>
      <c r="E20" s="198">
        <f>SP1000P630700800900</f>
        <v>0</v>
      </c>
      <c r="F20" s="218" t="str">
        <f t="shared" si="0"/>
        <v> </v>
      </c>
      <c r="H20" s="195"/>
      <c r="I20" s="195"/>
      <c r="K20" s="276"/>
      <c r="L20" s="276"/>
      <c r="M20" s="277"/>
    </row>
    <row r="21" spans="1:13" ht="12" customHeight="1">
      <c r="A21" s="220"/>
      <c r="B21" s="196" t="s">
        <v>200</v>
      </c>
      <c r="C21" s="202"/>
      <c r="D21" s="198">
        <f>SUM(D6:D20)</f>
        <v>2842240</v>
      </c>
      <c r="E21" s="198">
        <f>SUM(E6:E20)</f>
        <v>3635583</v>
      </c>
      <c r="F21" s="218">
        <f t="shared" si="0"/>
        <v>0.2791259710650754</v>
      </c>
      <c r="H21" s="441" t="s">
        <v>212</v>
      </c>
      <c r="I21" s="442"/>
      <c r="J21" s="442"/>
      <c r="K21" s="442"/>
      <c r="L21" s="443"/>
      <c r="M21" s="277"/>
    </row>
    <row r="22" spans="1:13" ht="12" customHeight="1">
      <c r="A22" s="215" t="s">
        <v>28</v>
      </c>
      <c r="D22" s="200"/>
      <c r="E22" s="236"/>
      <c r="F22" s="237"/>
      <c r="H22" s="215"/>
      <c r="J22" s="439" t="s">
        <v>61</v>
      </c>
      <c r="K22" s="440"/>
      <c r="L22" s="216" t="s">
        <v>63</v>
      </c>
      <c r="M22" s="277"/>
    </row>
    <row r="23" spans="1:13" ht="12" customHeight="1">
      <c r="A23" s="215"/>
      <c r="B23" s="194" t="s">
        <v>22</v>
      </c>
      <c r="D23" s="203">
        <f>SP1000P200F1000CY</f>
        <v>89317</v>
      </c>
      <c r="E23" s="238">
        <f>SP1000P200F1000</f>
        <v>144470</v>
      </c>
      <c r="F23" s="219">
        <f>IF(D23=0," ",(E23-D23)/D23)</f>
        <v>0.6174972289709686</v>
      </c>
      <c r="H23" s="215"/>
      <c r="J23" s="209" t="s">
        <v>249</v>
      </c>
      <c r="K23" s="209" t="s">
        <v>55</v>
      </c>
      <c r="L23" s="216" t="s">
        <v>64</v>
      </c>
      <c r="M23" s="277"/>
    </row>
    <row r="24" spans="1:13" ht="12" customHeight="1">
      <c r="A24" s="215"/>
      <c r="B24" s="194" t="s">
        <v>23</v>
      </c>
      <c r="D24" s="204"/>
      <c r="E24" s="204"/>
      <c r="F24" s="222"/>
      <c r="H24" s="229"/>
      <c r="J24" s="197">
        <v>2018</v>
      </c>
      <c r="K24" s="197">
        <v>2019</v>
      </c>
      <c r="L24" s="217" t="s">
        <v>65</v>
      </c>
      <c r="M24" s="277"/>
    </row>
    <row r="25" spans="1:13" ht="12" customHeight="1">
      <c r="A25" s="215"/>
      <c r="C25" s="194" t="s">
        <v>193</v>
      </c>
      <c r="D25" s="199">
        <f>SP1000P200F2100CY</f>
        <v>0</v>
      </c>
      <c r="E25" s="199">
        <f>SP1000P200F2100</f>
        <v>0</v>
      </c>
      <c r="F25" s="219" t="str">
        <f aca="true" t="shared" si="2" ref="F25:F41">IF(D25=0," ",(E25-D25)/D25)</f>
        <v> </v>
      </c>
      <c r="H25" s="223" t="s">
        <v>208</v>
      </c>
      <c r="I25" s="205"/>
      <c r="J25" s="199">
        <f>SP1000TotalCY</f>
        <v>2931557</v>
      </c>
      <c r="K25" s="199">
        <f>SP1000Total</f>
        <v>3780053</v>
      </c>
      <c r="L25" s="221">
        <f>IF(J25=0," ",(K25-J25)/J25)</f>
        <v>0.2894352727918986</v>
      </c>
      <c r="M25" s="277"/>
    </row>
    <row r="26" spans="1:13" ht="12" customHeight="1">
      <c r="A26" s="215"/>
      <c r="C26" s="194" t="s">
        <v>194</v>
      </c>
      <c r="D26" s="199">
        <f>SP1000P200F2200CY</f>
        <v>0</v>
      </c>
      <c r="E26" s="199">
        <f>SP1000P200F2200</f>
        <v>0</v>
      </c>
      <c r="F26" s="222" t="str">
        <f t="shared" si="2"/>
        <v> </v>
      </c>
      <c r="H26" s="223" t="s">
        <v>205</v>
      </c>
      <c r="I26" s="205"/>
      <c r="J26" s="198">
        <f>SP1000ClassSiteProjCY</f>
        <v>173880</v>
      </c>
      <c r="K26" s="198">
        <f>SP1000ClassSiteProj</f>
        <v>247356</v>
      </c>
      <c r="L26" s="221">
        <f aca="true" t="shared" si="3" ref="L26:L33">IF(J26=0," ",(K26-J26)/J26)</f>
        <v>0.4225672877846791</v>
      </c>
      <c r="M26" s="277"/>
    </row>
    <row r="27" spans="1:13" ht="12" customHeight="1">
      <c r="A27" s="215"/>
      <c r="C27" s="194" t="s">
        <v>195</v>
      </c>
      <c r="D27" s="199">
        <f>SP1000P200F2300CY</f>
        <v>0</v>
      </c>
      <c r="E27" s="199">
        <f>SP1000P200F2300</f>
        <v>0</v>
      </c>
      <c r="F27" s="218" t="str">
        <f t="shared" si="2"/>
        <v> </v>
      </c>
      <c r="H27" s="223" t="s">
        <v>215</v>
      </c>
      <c r="I27" s="205"/>
      <c r="J27" s="198">
        <f>SP1000InstrImpProjCY</f>
        <v>16368</v>
      </c>
      <c r="K27" s="198">
        <f>SP1000InstrImpProj</f>
        <v>21208</v>
      </c>
      <c r="L27" s="221">
        <f t="shared" si="3"/>
        <v>0.2956989247311828</v>
      </c>
      <c r="M27" s="277"/>
    </row>
    <row r="28" spans="1:13" ht="12" customHeight="1">
      <c r="A28" s="215"/>
      <c r="C28" s="194" t="s">
        <v>196</v>
      </c>
      <c r="D28" s="199">
        <f>SP1000P200F2400CY</f>
        <v>0</v>
      </c>
      <c r="E28" s="199">
        <f>SP1000P200F2400</f>
        <v>0</v>
      </c>
      <c r="F28" s="218" t="str">
        <f t="shared" si="2"/>
        <v> </v>
      </c>
      <c r="H28" s="223" t="s">
        <v>214</v>
      </c>
      <c r="I28" s="205"/>
      <c r="J28" s="198">
        <f>SP1000StruEngImmProjCY</f>
        <v>0</v>
      </c>
      <c r="K28" s="198">
        <f>SP1000StruEngImmProj</f>
        <v>0</v>
      </c>
      <c r="L28" s="221" t="str">
        <f t="shared" si="3"/>
        <v> </v>
      </c>
      <c r="M28" s="277"/>
    </row>
    <row r="29" spans="1:13" ht="12" customHeight="1">
      <c r="A29" s="215"/>
      <c r="C29" s="194" t="s">
        <v>197</v>
      </c>
      <c r="D29" s="199">
        <f>SP1000P200F2500CY</f>
        <v>0</v>
      </c>
      <c r="E29" s="199">
        <f>SP1000P200F2500</f>
        <v>0</v>
      </c>
      <c r="F29" s="218" t="str">
        <f t="shared" si="2"/>
        <v> </v>
      </c>
      <c r="H29" s="223" t="s">
        <v>146</v>
      </c>
      <c r="I29" s="205"/>
      <c r="J29" s="198">
        <f>SP1000CompInstrProjCY</f>
        <v>0</v>
      </c>
      <c r="K29" s="198">
        <f>SP1000CompInstrProj</f>
        <v>0</v>
      </c>
      <c r="L29" s="221" t="str">
        <f t="shared" si="3"/>
        <v> </v>
      </c>
      <c r="M29" s="277"/>
    </row>
    <row r="30" spans="1:13" ht="12" customHeight="1">
      <c r="A30" s="215"/>
      <c r="C30" s="194" t="s">
        <v>198</v>
      </c>
      <c r="D30" s="199">
        <f>SP1000P200F2600CY</f>
        <v>0</v>
      </c>
      <c r="E30" s="199">
        <f>SP1000P200F2600</f>
        <v>0</v>
      </c>
      <c r="F30" s="218" t="str">
        <f t="shared" si="2"/>
        <v> </v>
      </c>
      <c r="H30" s="223" t="s">
        <v>209</v>
      </c>
      <c r="I30" s="205"/>
      <c r="J30" s="198">
        <f>TotalFederalProjectsCY</f>
        <v>40115</v>
      </c>
      <c r="K30" s="198">
        <f>TotalFederalProjects</f>
        <v>38938</v>
      </c>
      <c r="L30" s="221">
        <f t="shared" si="3"/>
        <v>-0.02934064564377415</v>
      </c>
      <c r="M30" s="277"/>
    </row>
    <row r="31" spans="1:13" ht="12" customHeight="1">
      <c r="A31" s="215"/>
      <c r="C31" s="194" t="s">
        <v>199</v>
      </c>
      <c r="D31" s="199">
        <f>SP1000P200F2900CY</f>
        <v>0</v>
      </c>
      <c r="E31" s="199">
        <f>SP1000P200F2900</f>
        <v>0</v>
      </c>
      <c r="F31" s="218" t="str">
        <f t="shared" si="2"/>
        <v> </v>
      </c>
      <c r="H31" s="223" t="s">
        <v>210</v>
      </c>
      <c r="I31" s="205"/>
      <c r="J31" s="198">
        <f>TotalStateProjectsCY</f>
        <v>83700</v>
      </c>
      <c r="K31" s="198">
        <f>TotalStateProjects</f>
        <v>108450</v>
      </c>
      <c r="L31" s="221">
        <f t="shared" si="3"/>
        <v>0.2956989247311828</v>
      </c>
      <c r="M31" s="277"/>
    </row>
    <row r="32" spans="1:13" ht="12" customHeight="1">
      <c r="A32" s="215"/>
      <c r="B32" s="194" t="s">
        <v>26</v>
      </c>
      <c r="D32" s="199">
        <f>SP1000P200F3000CY</f>
        <v>0</v>
      </c>
      <c r="E32" s="199">
        <f>SP1000P200F3000</f>
        <v>0</v>
      </c>
      <c r="F32" s="218" t="str">
        <f t="shared" si="2"/>
        <v> </v>
      </c>
      <c r="H32" s="223" t="s">
        <v>211</v>
      </c>
      <c r="I32" s="205"/>
      <c r="J32" s="198">
        <f>TotalCapitalAcquisitionsCY</f>
        <v>85400</v>
      </c>
      <c r="K32" s="198">
        <f>TotalCapitalAcquisitions</f>
        <v>8000</v>
      </c>
      <c r="L32" s="221">
        <f t="shared" si="3"/>
        <v>-0.9063231850117096</v>
      </c>
      <c r="M32" s="277"/>
    </row>
    <row r="33" spans="1:12" ht="12" customHeight="1">
      <c r="A33" s="215"/>
      <c r="B33" s="194" t="s">
        <v>150</v>
      </c>
      <c r="D33" s="199">
        <f>SP1000P200F4000CY</f>
        <v>0</v>
      </c>
      <c r="E33" s="199">
        <f>SP1000P200F4000</f>
        <v>0</v>
      </c>
      <c r="F33" s="218" t="str">
        <f t="shared" si="2"/>
        <v> </v>
      </c>
      <c r="H33" s="223" t="s">
        <v>206</v>
      </c>
      <c r="I33" s="205"/>
      <c r="J33" s="198">
        <f>SUM(J25:J32)</f>
        <v>3331020</v>
      </c>
      <c r="K33" s="198">
        <f>SUM(K25:K32)</f>
        <v>4204005</v>
      </c>
      <c r="L33" s="221">
        <f t="shared" si="3"/>
        <v>0.2620773817029018</v>
      </c>
    </row>
    <row r="34" spans="1:6" ht="12" customHeight="1">
      <c r="A34" s="215"/>
      <c r="B34" s="194" t="s">
        <v>27</v>
      </c>
      <c r="D34" s="199">
        <f>SP1000P200F5000CY</f>
        <v>0</v>
      </c>
      <c r="E34" s="199">
        <f>SP1000P200F5000</f>
        <v>0</v>
      </c>
      <c r="F34" s="218" t="str">
        <f t="shared" si="2"/>
        <v> </v>
      </c>
    </row>
    <row r="35" spans="1:13" ht="12" customHeight="1">
      <c r="A35" s="215"/>
      <c r="B35" s="194" t="s">
        <v>201</v>
      </c>
      <c r="C35" s="231"/>
      <c r="D35" s="211">
        <f>SUM(D23:D34)</f>
        <v>89317</v>
      </c>
      <c r="E35" s="211">
        <f>SUM(E23:E34)</f>
        <v>144470</v>
      </c>
      <c r="F35" s="218">
        <f t="shared" si="2"/>
        <v>0.6174972289709686</v>
      </c>
      <c r="H35" s="444" t="s">
        <v>353</v>
      </c>
      <c r="I35" s="444"/>
      <c r="J35" s="444"/>
      <c r="K35" s="444"/>
      <c r="L35" s="444"/>
      <c r="M35" s="436">
        <f>IF(L37&lt;1,"Enter Average Salary on the Budget Cover","")</f>
      </c>
    </row>
    <row r="36" spans="1:13" ht="0.75" customHeight="1">
      <c r="A36" s="220" t="s">
        <v>202</v>
      </c>
      <c r="B36" s="196"/>
      <c r="C36" s="202"/>
      <c r="D36" s="199"/>
      <c r="E36" s="199"/>
      <c r="F36" s="219"/>
      <c r="J36" s="291"/>
      <c r="K36" s="291"/>
      <c r="L36" s="291"/>
      <c r="M36" s="436"/>
    </row>
    <row r="37" spans="1:13" ht="12" customHeight="1">
      <c r="A37" s="223" t="s">
        <v>29</v>
      </c>
      <c r="B37" s="205"/>
      <c r="C37" s="206"/>
      <c r="D37" s="198">
        <f>SP1000P400CY</f>
        <v>0</v>
      </c>
      <c r="E37" s="198">
        <f>SP1000P400</f>
        <v>0</v>
      </c>
      <c r="F37" s="221" t="str">
        <f t="shared" si="2"/>
        <v> </v>
      </c>
      <c r="H37" s="438" t="s">
        <v>364</v>
      </c>
      <c r="I37" s="438"/>
      <c r="J37" s="438"/>
      <c r="K37" s="438"/>
      <c r="L37" s="315">
        <f>BudgetYearSalary</f>
        <v>43305</v>
      </c>
      <c r="M37" s="436"/>
    </row>
    <row r="38" spans="1:13" ht="12" customHeight="1">
      <c r="A38" s="223" t="s">
        <v>30</v>
      </c>
      <c r="B38" s="205"/>
      <c r="C38" s="206"/>
      <c r="D38" s="198">
        <f>SP1000P530CY</f>
        <v>0</v>
      </c>
      <c r="E38" s="198">
        <f>SP1000P530</f>
        <v>0</v>
      </c>
      <c r="F38" s="221" t="str">
        <f t="shared" si="2"/>
        <v> </v>
      </c>
      <c r="H38" s="438" t="s">
        <v>365</v>
      </c>
      <c r="I38" s="438"/>
      <c r="J38" s="438"/>
      <c r="K38" s="438"/>
      <c r="L38" s="315">
        <f>PriorYearSalary</f>
        <v>40054</v>
      </c>
      <c r="M38" s="436"/>
    </row>
    <row r="39" spans="1:13" ht="12" customHeight="1">
      <c r="A39" s="223" t="s">
        <v>203</v>
      </c>
      <c r="B39" s="205"/>
      <c r="C39" s="206"/>
      <c r="D39" s="198">
        <f>SP1000P540CY</f>
        <v>0</v>
      </c>
      <c r="E39" s="198">
        <f>SP1000P540</f>
        <v>0</v>
      </c>
      <c r="F39" s="221" t="str">
        <f t="shared" si="2"/>
        <v> </v>
      </c>
      <c r="H39" s="438" t="s">
        <v>366</v>
      </c>
      <c r="I39" s="438"/>
      <c r="J39" s="438"/>
      <c r="K39" s="438"/>
      <c r="L39" s="315">
        <f>SalaryIncreaseFromPriorYear</f>
        <v>3251</v>
      </c>
      <c r="M39" s="436"/>
    </row>
    <row r="40" spans="1:13" ht="12" customHeight="1">
      <c r="A40" s="220" t="s">
        <v>216</v>
      </c>
      <c r="B40" s="196"/>
      <c r="C40" s="202"/>
      <c r="D40" s="198">
        <f>SP1000P550CY</f>
        <v>0</v>
      </c>
      <c r="E40" s="198">
        <f>SP1000P550</f>
        <v>0</v>
      </c>
      <c r="F40" s="221" t="str">
        <f t="shared" si="2"/>
        <v> </v>
      </c>
      <c r="H40" s="438" t="s">
        <v>307</v>
      </c>
      <c r="I40" s="438"/>
      <c r="J40" s="438"/>
      <c r="K40" s="438"/>
      <c r="L40" s="322">
        <f>SalaryPercentageIncrease</f>
        <v>0.081</v>
      </c>
      <c r="M40" s="436"/>
    </row>
    <row r="41" spans="1:13" ht="12" customHeight="1">
      <c r="A41" s="220"/>
      <c r="B41" s="196"/>
      <c r="C41" s="202" t="s">
        <v>204</v>
      </c>
      <c r="D41" s="199">
        <f>SUM(D35:D40)+D21</f>
        <v>2931557</v>
      </c>
      <c r="E41" s="199">
        <f>SUM(E35:E40)+E21</f>
        <v>3780053</v>
      </c>
      <c r="F41" s="221">
        <f t="shared" si="2"/>
        <v>0.2894352727918986</v>
      </c>
      <c r="M41" s="436"/>
    </row>
    <row r="42" spans="4:13" ht="12" customHeight="1">
      <c r="D42" s="276"/>
      <c r="E42" s="276"/>
      <c r="F42" s="277"/>
      <c r="H42" s="325" t="s">
        <v>354</v>
      </c>
      <c r="J42" s="276"/>
      <c r="K42" s="276"/>
      <c r="L42" s="277"/>
      <c r="M42" s="437"/>
    </row>
    <row r="43" spans="8:13" ht="12" customHeight="1">
      <c r="H43" s="427" t="str">
        <f>IF(AverageSalaryCalculationComment&lt;&gt;"",AverageSalaryCalculationComment,"")</f>
        <v>Returning teachers received a 9% to 10% salary increase.</v>
      </c>
      <c r="I43" s="428"/>
      <c r="J43" s="428"/>
      <c r="K43" s="428"/>
      <c r="L43" s="428"/>
      <c r="M43" s="429"/>
    </row>
    <row r="44" spans="8:13" ht="12" customHeight="1">
      <c r="H44" s="430"/>
      <c r="I44" s="431"/>
      <c r="J44" s="431"/>
      <c r="K44" s="431"/>
      <c r="L44" s="431"/>
      <c r="M44" s="432"/>
    </row>
    <row r="45" spans="8:13" ht="12" customHeight="1">
      <c r="H45" s="430"/>
      <c r="I45" s="431"/>
      <c r="J45" s="431"/>
      <c r="K45" s="431"/>
      <c r="L45" s="431"/>
      <c r="M45" s="432"/>
    </row>
    <row r="46" spans="8:13" ht="12" customHeight="1">
      <c r="H46" s="430"/>
      <c r="I46" s="431"/>
      <c r="J46" s="431"/>
      <c r="K46" s="431"/>
      <c r="L46" s="431"/>
      <c r="M46" s="432"/>
    </row>
    <row r="47" spans="8:13" ht="12" customHeight="1">
      <c r="H47" s="433"/>
      <c r="I47" s="434"/>
      <c r="J47" s="434"/>
      <c r="K47" s="434"/>
      <c r="L47" s="434"/>
      <c r="M47" s="435"/>
    </row>
    <row r="48" ht="12.75" customHeight="1"/>
    <row r="49" ht="12.75" customHeight="1"/>
    <row r="50" ht="12.75" customHeight="1"/>
    <row r="51" ht="12.75" customHeight="1"/>
    <row r="52" ht="12.75" customHeight="1"/>
    <row r="53" spans="8:10" ht="12.75" customHeight="1">
      <c r="H53" s="207"/>
      <c r="J53" s="210"/>
    </row>
    <row r="54" ht="12.75" customHeight="1"/>
    <row r="55" ht="12.75" customHeight="1"/>
  </sheetData>
  <sheetProtection sheet="1"/>
  <mergeCells count="14">
    <mergeCell ref="H21:L21"/>
    <mergeCell ref="H35:L35"/>
    <mergeCell ref="A1:J1"/>
    <mergeCell ref="H3:M7"/>
    <mergeCell ref="D3:E3"/>
    <mergeCell ref="K9:L9"/>
    <mergeCell ref="H19:J19"/>
    <mergeCell ref="H43:M47"/>
    <mergeCell ref="M35:M42"/>
    <mergeCell ref="H38:K38"/>
    <mergeCell ref="H39:K39"/>
    <mergeCell ref="H40:K40"/>
    <mergeCell ref="J22:K22"/>
    <mergeCell ref="H37:K37"/>
  </mergeCells>
  <printOptions horizontalCentered="1" verticalCentered="1"/>
  <pageMargins left="0.75" right="0.5" top="0.25" bottom="0.25" header="0" footer="0"/>
  <pageSetup horizontalDpi="600" verticalDpi="600" orientation="landscape" paperSize="5" r:id="rId2"/>
  <headerFooter>
    <oddFooter>&amp;L&amp;"Arial,Bold"Rev. 5/18&amp;C&amp;"Arial,Bold"FY 2019&amp;R&amp;"Arial,Bold"Page 1 of 1</oddFooter>
  </headerFooter>
  <drawing r:id="rId1"/>
</worksheet>
</file>

<file path=xl/worksheets/sheet8.xml><?xml version="1.0" encoding="utf-8"?>
<worksheet xmlns="http://schemas.openxmlformats.org/spreadsheetml/2006/main" xmlns:r="http://schemas.openxmlformats.org/officeDocument/2006/relationships">
  <dimension ref="A1:F29"/>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1" customWidth="1"/>
    <col min="2" max="2" width="21.140625" style="243" customWidth="1"/>
    <col min="3" max="3" width="88.7109375" style="242" customWidth="1"/>
    <col min="4" max="4" width="8.8515625" style="242" customWidth="1"/>
  </cols>
  <sheetData>
    <row r="1" spans="1:4" ht="21.75" customHeight="1">
      <c r="A1" s="239" t="s">
        <v>222</v>
      </c>
      <c r="B1" s="240" t="s">
        <v>223</v>
      </c>
      <c r="C1" s="246" t="s">
        <v>239</v>
      </c>
      <c r="D1" s="239"/>
    </row>
    <row r="2" spans="1:6" ht="162" customHeight="1">
      <c r="A2" s="259" t="s">
        <v>225</v>
      </c>
      <c r="B2" s="247" t="s">
        <v>224</v>
      </c>
      <c r="C2" s="279" t="s">
        <v>299</v>
      </c>
      <c r="F2" s="242"/>
    </row>
    <row r="3" spans="1:3" ht="44.25" customHeight="1">
      <c r="A3" s="259" t="s">
        <v>225</v>
      </c>
      <c r="B3" s="247" t="s">
        <v>192</v>
      </c>
      <c r="C3" s="279" t="s">
        <v>252</v>
      </c>
    </row>
    <row r="4" spans="1:3" ht="97.5" customHeight="1">
      <c r="A4" s="259" t="s">
        <v>225</v>
      </c>
      <c r="B4" s="247" t="s">
        <v>79</v>
      </c>
      <c r="C4" s="279" t="s">
        <v>262</v>
      </c>
    </row>
    <row r="5" spans="1:3" ht="37.5" customHeight="1">
      <c r="A5" s="259" t="s">
        <v>225</v>
      </c>
      <c r="B5" s="247" t="s">
        <v>244</v>
      </c>
      <c r="C5" s="279" t="s">
        <v>300</v>
      </c>
    </row>
    <row r="6" spans="1:3" ht="122.25" customHeight="1">
      <c r="A6" s="259" t="s">
        <v>225</v>
      </c>
      <c r="B6" s="247" t="s">
        <v>352</v>
      </c>
      <c r="C6" s="279" t="s">
        <v>368</v>
      </c>
    </row>
    <row r="7" spans="1:3" ht="31.5" customHeight="1">
      <c r="A7" s="339" t="s">
        <v>350</v>
      </c>
      <c r="B7" s="247" t="s">
        <v>350</v>
      </c>
      <c r="C7" s="279" t="s">
        <v>351</v>
      </c>
    </row>
    <row r="8" spans="1:3" ht="59.25" customHeight="1">
      <c r="A8" s="259">
        <v>1</v>
      </c>
      <c r="B8" s="247" t="s">
        <v>224</v>
      </c>
      <c r="C8" s="279" t="s">
        <v>280</v>
      </c>
    </row>
    <row r="9" spans="1:3" ht="66" customHeight="1">
      <c r="A9" s="259">
        <v>1</v>
      </c>
      <c r="B9" s="247" t="s">
        <v>273</v>
      </c>
      <c r="C9" s="279" t="s">
        <v>274</v>
      </c>
    </row>
    <row r="10" spans="1:3" ht="60.75" customHeight="1">
      <c r="A10" s="259">
        <v>1</v>
      </c>
      <c r="B10" s="247" t="s">
        <v>238</v>
      </c>
      <c r="C10" s="279" t="s">
        <v>308</v>
      </c>
    </row>
    <row r="11" spans="1:3" ht="17.25" customHeight="1">
      <c r="A11" s="259"/>
      <c r="B11" s="247"/>
      <c r="C11" s="318" t="s">
        <v>309</v>
      </c>
    </row>
    <row r="12" spans="1:3" ht="49.5" customHeight="1">
      <c r="A12" s="259">
        <v>1</v>
      </c>
      <c r="B12" s="247" t="s">
        <v>275</v>
      </c>
      <c r="C12" s="279" t="s">
        <v>276</v>
      </c>
    </row>
    <row r="13" spans="1:3" ht="62.25" customHeight="1">
      <c r="A13" s="259">
        <v>1</v>
      </c>
      <c r="B13" s="247" t="s">
        <v>237</v>
      </c>
      <c r="C13" s="279" t="s">
        <v>304</v>
      </c>
    </row>
    <row r="14" spans="1:3" ht="91.5" customHeight="1">
      <c r="A14" s="259">
        <v>2</v>
      </c>
      <c r="B14" s="247" t="s">
        <v>245</v>
      </c>
      <c r="C14" s="279" t="s">
        <v>281</v>
      </c>
    </row>
    <row r="15" spans="1:3" ht="76.5" customHeight="1">
      <c r="A15" s="259">
        <v>2</v>
      </c>
      <c r="B15" s="247" t="s">
        <v>284</v>
      </c>
      <c r="C15" s="279" t="s">
        <v>288</v>
      </c>
    </row>
    <row r="16" spans="1:3" ht="135" customHeight="1">
      <c r="A16" s="259">
        <v>2</v>
      </c>
      <c r="B16" s="247" t="s">
        <v>285</v>
      </c>
      <c r="C16" s="279" t="s">
        <v>301</v>
      </c>
    </row>
    <row r="17" spans="1:3" ht="102" customHeight="1">
      <c r="A17" s="259">
        <v>2</v>
      </c>
      <c r="B17" s="247" t="s">
        <v>211</v>
      </c>
      <c r="C17" s="279" t="s">
        <v>243</v>
      </c>
    </row>
    <row r="18" spans="1:3" ht="66" customHeight="1">
      <c r="A18" s="259">
        <v>2</v>
      </c>
      <c r="B18" s="247" t="s">
        <v>227</v>
      </c>
      <c r="C18" s="279" t="s">
        <v>277</v>
      </c>
    </row>
    <row r="19" spans="1:3" ht="49.5" customHeight="1">
      <c r="A19" s="259">
        <v>2</v>
      </c>
      <c r="B19" s="247" t="s">
        <v>271</v>
      </c>
      <c r="C19" s="279" t="s">
        <v>270</v>
      </c>
    </row>
    <row r="20" spans="1:3" ht="56.25" customHeight="1">
      <c r="A20" s="259">
        <v>2</v>
      </c>
      <c r="B20" s="247" t="s">
        <v>267</v>
      </c>
      <c r="C20" s="279" t="s">
        <v>250</v>
      </c>
    </row>
    <row r="21" spans="1:3" ht="75" customHeight="1">
      <c r="A21" s="259">
        <v>2</v>
      </c>
      <c r="B21" s="247" t="s">
        <v>228</v>
      </c>
      <c r="C21" s="279" t="s">
        <v>278</v>
      </c>
    </row>
    <row r="22" spans="1:3" ht="116.25" customHeight="1">
      <c r="A22" s="259">
        <v>2</v>
      </c>
      <c r="B22" s="247" t="s">
        <v>226</v>
      </c>
      <c r="C22" s="279" t="s">
        <v>302</v>
      </c>
    </row>
    <row r="23" spans="1:3" ht="59.25" customHeight="1">
      <c r="A23" s="259">
        <v>2</v>
      </c>
      <c r="B23" s="247" t="s">
        <v>230</v>
      </c>
      <c r="C23" s="279" t="s">
        <v>229</v>
      </c>
    </row>
    <row r="24" spans="1:3" ht="48" customHeight="1">
      <c r="A24" s="259">
        <v>2</v>
      </c>
      <c r="B24" s="247" t="s">
        <v>236</v>
      </c>
      <c r="C24" s="279" t="s">
        <v>240</v>
      </c>
    </row>
    <row r="25" spans="1:3" ht="100.5" customHeight="1">
      <c r="A25" s="259">
        <v>3</v>
      </c>
      <c r="B25" s="247" t="s">
        <v>233</v>
      </c>
      <c r="C25" s="279" t="s">
        <v>303</v>
      </c>
    </row>
    <row r="26" spans="1:3" ht="63.75" customHeight="1">
      <c r="A26" s="259">
        <v>4</v>
      </c>
      <c r="B26" s="247" t="s">
        <v>231</v>
      </c>
      <c r="C26" s="279" t="s">
        <v>242</v>
      </c>
    </row>
    <row r="27" spans="1:3" ht="66" customHeight="1">
      <c r="A27" s="259">
        <v>4</v>
      </c>
      <c r="B27" s="247" t="s">
        <v>232</v>
      </c>
      <c r="C27" s="279" t="s">
        <v>241</v>
      </c>
    </row>
    <row r="28" spans="1:3" ht="25.5">
      <c r="A28" s="273" t="s">
        <v>246</v>
      </c>
      <c r="B28" s="272" t="s">
        <v>224</v>
      </c>
      <c r="C28" s="279" t="s">
        <v>247</v>
      </c>
    </row>
    <row r="29" ht="12.75">
      <c r="C29" s="279"/>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r:id="rId2"/>
  <headerFooter scaleWithDoc="0">
    <oddFooter>&amp;L&amp;"Arial,Bold"Rev. 5/18&amp;C&amp;"Arial,Bold"FY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Ramsey Margison</cp:lastModifiedBy>
  <cp:lastPrinted>2018-05-22T23:55:58Z</cp:lastPrinted>
  <dcterms:created xsi:type="dcterms:W3CDTF">1997-10-08T16:25:08Z</dcterms:created>
  <dcterms:modified xsi:type="dcterms:W3CDTF">2018-06-22T03:15:07Z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2019</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